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F:\interdev\pdf\dcyf\"/>
    </mc:Choice>
  </mc:AlternateContent>
  <xr:revisionPtr revIDLastSave="0" documentId="8_{5200FA9A-E5D7-46A8-900E-4BA793A0759E}" xr6:coauthVersionLast="47" xr6:coauthVersionMax="47" xr10:uidLastSave="{00000000-0000-0000-0000-000000000000}"/>
  <bookViews>
    <workbookView xWindow="30795" yWindow="1260" windowWidth="21600" windowHeight="11385" tabRatio="787" xr2:uid="{84B377CC-B209-49D7-BDBA-B36BE21B0006}"/>
  </bookViews>
  <sheets>
    <sheet name="Fee Table" sheetId="4" r:id="rId1"/>
    <sheet name="Fair Wages" sheetId="5" r:id="rId2"/>
    <sheet name="EPS Cost Assumptions" sheetId="1" r:id="rId3"/>
    <sheet name="Summary" sheetId="3" r:id="rId4"/>
    <sheet name="Directcare Schedule" sheetId="2" r:id="rId5"/>
  </sheets>
  <externalReferences>
    <externalReference r:id="rId6"/>
    <externalReference r:id="rId7"/>
    <externalReference r:id="rId8"/>
    <externalReference r:id="rId9"/>
    <externalReference r:id="rId10"/>
    <externalReference r:id="rId11"/>
  </externalReferences>
  <definedNames>
    <definedName name="AdminFTE">'[1]P&amp;L'!#REF!</definedName>
    <definedName name="AdminHr">[1]Assumptions!$D$27</definedName>
    <definedName name="AdminHrs">'[2]QRTP Assumptions'!#REF!</definedName>
    <definedName name="AdminOther">'[3]P&amp;L'!#REF!</definedName>
    <definedName name="AdminRate">[1]Assumptions!$C$27</definedName>
    <definedName name="AvgMonthlyRent">[1]Assumptions!#REF!</definedName>
    <definedName name="AvgRent">'[1]P&amp;L'!$B$19</definedName>
    <definedName name="Beds">'EPS Cost Assumptions'!$B$6</definedName>
    <definedName name="bedss">'[4]ALPT Rate Model'!$B$4</definedName>
    <definedName name="Benefits">[1]Assumptions!#REF!</definedName>
    <definedName name="BenefitsCost">'[1]P&amp;L'!#REF!</definedName>
    <definedName name="BOAssumption">[1]Assumptions!#REF!</definedName>
    <definedName name="book">[1]Assumptions!$B$42</definedName>
    <definedName name="bookyr">[1]Assumptions!$C$42</definedName>
    <definedName name="Clinical">'[1]P&amp;L'!#REF!</definedName>
    <definedName name="ClinicalFTE">'[1]P&amp;L'!#REF!</definedName>
    <definedName name="ClinicalHr">[1]Assumptions!#REF!</definedName>
    <definedName name="ClinicalHrs">[1]Assumptions!#REF!</definedName>
    <definedName name="ClinicalRate">[1]Assumptions!#REF!</definedName>
    <definedName name="Clothing">[1]Assumptions!$B$47</definedName>
    <definedName name="clothingyr">[1]Assumptions!$C$47</definedName>
    <definedName name="CommunityHr">[1]Assumptions!#REF!</definedName>
    <definedName name="CompensationMonthly">'[1]P&amp;L'!$B$4</definedName>
    <definedName name="CompMonthly">[1]Assumptions!$B$10</definedName>
    <definedName name="CompYear">'[1]P&amp;L'!$C$4</definedName>
    <definedName name="craft">[1]Assumptions!$B$51</definedName>
    <definedName name="craftyr">[1]Assumptions!$C$51</definedName>
    <definedName name="DATATYPEVal">[5]Validation!$C$2:$C$3</definedName>
    <definedName name="DayDirectFTE">'[1]P&amp;L'!#REF!</definedName>
    <definedName name="DayDirectHr">[1]Assumptions!$D$24</definedName>
    <definedName name="DayDirectHrs">[1]Assumptions!$C$24</definedName>
    <definedName name="DayDirectStaff">[1]Assumptions!$B$24</definedName>
    <definedName name="DirectCare">'[2]P&amp;L'!$B$37</definedName>
    <definedName name="DirectCareCoverage">[1]Assumptions!$B$26</definedName>
    <definedName name="DirectCareFTE">'[1]P&amp;L'!#REF!</definedName>
    <definedName name="DirectCareHr">[1]Assumptions!$D$23</definedName>
    <definedName name="DirectCareHrs">[1]Assumptions!$C$26</definedName>
    <definedName name="DirectCareSup">'[1]P&amp;L'!#REF!</definedName>
    <definedName name="DirectCareSup2">'[1]P&amp;L'!#REF!</definedName>
    <definedName name="DirectorHrsPerMonth">'[1]P&amp;L'!#REF!</definedName>
    <definedName name="DirectorHrsPerMonths">'[1]P&amp;L'!#REF!</definedName>
    <definedName name="DirectorWage">[1]Assumptions!#REF!</definedName>
    <definedName name="DirectorWagess">[1]Assumptions!#REF!</definedName>
    <definedName name="Edu">[1]Assumptions!#REF!</definedName>
    <definedName name="EducationMonthly">[1]Assumptions!#REF!</definedName>
    <definedName name="EducationMonthlys">[1]Assumptions!#REF!</definedName>
    <definedName name="EduMonthly">'[1]P&amp;L'!#REF!</definedName>
    <definedName name="Edus">[1]Assumptions!#REF!</definedName>
    <definedName name="EmpAds">[1]Assumptions!#REF!</definedName>
    <definedName name="EmplymentAds">[1]Assumptions!#REF!</definedName>
    <definedName name="EmplymentAdss">[1]Assumptions!#REF!</definedName>
    <definedName name="EmpsAdss">[1]Assumptions!#REF!</definedName>
    <definedName name="Exechr">[1]Assumptions!$D$21</definedName>
    <definedName name="ExecHrs">[1]Assumptions!$C$21</definedName>
    <definedName name="ExecManage">[1]Assumptions!#REF!</definedName>
    <definedName name="ExecManages">[1]Assumptions!#REF!</definedName>
    <definedName name="execmonthly">'[1]P&amp;L'!$B$34</definedName>
    <definedName name="ExecNorthwest">'[1]Cost of Living'!#REF!</definedName>
    <definedName name="ExecNorthwests">'[1]Cost of Living'!#REF!</definedName>
    <definedName name="ExecRate">'[2]QRTP Assumptions'!#REF!</definedName>
    <definedName name="ExecRates">'[2]QRTP Assumptions'!#REF!</definedName>
    <definedName name="ExecSnowhomish">'[1]Cost of Living'!#REF!</definedName>
    <definedName name="ExecSnowhomishs">'[1]Cost of Living'!#REF!</definedName>
    <definedName name="Fed">'[1]P&amp;L'!#REF!</definedName>
    <definedName name="Feds">'[1]P&amp;L'!#REF!</definedName>
    <definedName name="FedTax">[1]Assumptions!$B$34</definedName>
    <definedName name="food">[1]Assumptions!$B$49</definedName>
    <definedName name="foodyr">[1]Assumptions!$C$49</definedName>
    <definedName name="FTEDirector">'[1]P&amp;L'!#REF!</definedName>
    <definedName name="FTEDirectors">'[1]P&amp;L'!#REF!</definedName>
    <definedName name="Funds">[6]Data!$B$83:$B$101</definedName>
    <definedName name="Insurance">[1]Assumptions!$B$41</definedName>
    <definedName name="InsuranceYr">'[1]P&amp;L'!$C$9</definedName>
    <definedName name="Legal">[1]Assumptions!$B$43</definedName>
    <definedName name="LevelValidation">[5]Validation!$A$2:$A$3</definedName>
    <definedName name="License">[1]Assumptions!$B$44</definedName>
    <definedName name="LicenseCost">'[1]P&amp;L'!$C$12</definedName>
    <definedName name="List10">#REF!</definedName>
    <definedName name="list2">#REF!</definedName>
    <definedName name="list3">#REF!</definedName>
    <definedName name="List5">#REF!</definedName>
    <definedName name="list6">#REF!</definedName>
    <definedName name="MaintenanceMonthly">'[1]P&amp;L'!#REF!</definedName>
    <definedName name="MaintenanceMonthlys">'[1]P&amp;L'!#REF!</definedName>
    <definedName name="MaintenanceYr">'[1]P&amp;L'!#REF!</definedName>
    <definedName name="MaintenanceYrs">'[1]P&amp;L'!#REF!</definedName>
    <definedName name="Manage">'[1]P&amp;L'!#REF!</definedName>
    <definedName name="ManageFTE">'[1]P&amp;L'!#REF!</definedName>
    <definedName name="ManageFTEs\">'[1]P&amp;L'!#REF!</definedName>
    <definedName name="ManageHrsMonth">[1]Assumptions!#REF!</definedName>
    <definedName name="ManageHrsMonths">[1]Assumptions!#REF!</definedName>
    <definedName name="ManageRate">[1]Assumptions!#REF!</definedName>
    <definedName name="ManageRates">[1]Assumptions!#REF!</definedName>
    <definedName name="ManagerHr">[1]Assumptions!$D$22</definedName>
    <definedName name="Manages">'[1]P&amp;L'!#REF!</definedName>
    <definedName name="ManagesFTEs">'[1]P&amp;L'!#REF!</definedName>
    <definedName name="ManagesFTEs\s">'[1]P&amp;L'!#REF!</definedName>
    <definedName name="Marketing">[1]Assumptions!#REF!</definedName>
    <definedName name="Med">'[1]P&amp;L'!#REF!</definedName>
    <definedName name="MedAssistants">'[1]P&amp;L'!#REF!</definedName>
    <definedName name="MedAssitants">'[1]P&amp;L'!#REF!</definedName>
    <definedName name="MedHrs">[1]Assumptions!#REF!</definedName>
    <definedName name="medicalequipment">[1]Assumptions!$B$48</definedName>
    <definedName name="MedRate">[1]Assumptions!#REF!</definedName>
    <definedName name="Meds">'[1]P&amp;L'!#REF!</definedName>
    <definedName name="medyrcost">[1]Assumptions!$C$48</definedName>
    <definedName name="Office">[1]Assumptions!$B$45</definedName>
    <definedName name="OfficeYr">'[1]P&amp;L'!$C$13</definedName>
    <definedName name="OvernightFTE">'[1]P&amp;L'!#REF!</definedName>
    <definedName name="OvernightHr">[1]Assumptions!$D$25</definedName>
    <definedName name="OvernightStaff">[1]Assumptions!$B$25</definedName>
    <definedName name="OvernightStaffHrs">[1]Assumptions!$C$25</definedName>
    <definedName name="Payroll">'[1]P&amp;L'!#REF!</definedName>
    <definedName name="PayTax">[1]Assumptions!$B$35</definedName>
    <definedName name="PDHrs">'[2]QRTP Assumptions'!#REF!</definedName>
    <definedName name="PdHrsMonth">[1]Assumptions!$C$22</definedName>
    <definedName name="PrintedMat">[1]Assumptions!#REF!</definedName>
    <definedName name="profyr">[1]Assumptions!$C$43</definedName>
    <definedName name="ProgramDirector">'[2]P&amp;L'!$B$36</definedName>
    <definedName name="ReliefHr">[1]Assumptions!$D$26</definedName>
    <definedName name="Rent">[1]Assumptions!#REF!</definedName>
    <definedName name="Repairs">[1]Assumptions!$B$46</definedName>
    <definedName name="RepairsYr">'[1]P&amp;L'!$C$14</definedName>
    <definedName name="Revenue">'[1]P&amp;L'!#REF!</definedName>
    <definedName name="solver_cvg" localSheetId="3" hidden="1">0.0001</definedName>
    <definedName name="solver_drv" localSheetId="3" hidden="1">1</definedName>
    <definedName name="solver_eng" localSheetId="3" hidden="1">1</definedName>
    <definedName name="solver_est" localSheetId="3" hidden="1">1</definedName>
    <definedName name="solver_itr" localSheetId="3" hidden="1">2147483647</definedName>
    <definedName name="solver_mip" localSheetId="3" hidden="1">2147483647</definedName>
    <definedName name="solver_mni" localSheetId="3" hidden="1">30</definedName>
    <definedName name="solver_mrt" localSheetId="3" hidden="1">0.075</definedName>
    <definedName name="solver_msl" localSheetId="3" hidden="1">2</definedName>
    <definedName name="solver_neg" localSheetId="3" hidden="1">1</definedName>
    <definedName name="solver_nod" localSheetId="3" hidden="1">2147483647</definedName>
    <definedName name="solver_num" localSheetId="3" hidden="1">0</definedName>
    <definedName name="solver_nwt" localSheetId="3" hidden="1">1</definedName>
    <definedName name="solver_opt" localSheetId="3" hidden="1">Summary!$C$36</definedName>
    <definedName name="solver_pre" localSheetId="3" hidden="1">0.000001</definedName>
    <definedName name="solver_rbv" localSheetId="3" hidden="1">1</definedName>
    <definedName name="solver_rlx" localSheetId="3" hidden="1">2</definedName>
    <definedName name="solver_rsd" localSheetId="3" hidden="1">0</definedName>
    <definedName name="solver_scl" localSheetId="3" hidden="1">1</definedName>
    <definedName name="solver_sho" localSheetId="3" hidden="1">2</definedName>
    <definedName name="solver_ssz" localSheetId="3" hidden="1">100</definedName>
    <definedName name="solver_tim" localSheetId="3" hidden="1">2147483647</definedName>
    <definedName name="solver_tol" localSheetId="3" hidden="1">0.01</definedName>
    <definedName name="solver_typ" localSheetId="3" hidden="1">3</definedName>
    <definedName name="solver_val" localSheetId="3" hidden="1">3799</definedName>
    <definedName name="solver_ver" localSheetId="3" hidden="1">3</definedName>
    <definedName name="SqfeetpriceCOLI">[1]Assumptions!$B$59</definedName>
    <definedName name="SqFtPrice">[1]Assumptions!#REF!</definedName>
    <definedName name="SqrFt">[1]Assumptions!#REF!</definedName>
    <definedName name="ss">[1]Assumptions!#REF!</definedName>
    <definedName name="SupervisorHrs">[1]Assumptions!$C$23</definedName>
    <definedName name="SupervisorRate">[1]Assumptions!$B$23</definedName>
    <definedName name="TotalMarket">'[2]QRTP Assumptions'!#REF!</definedName>
    <definedName name="TotalMarketCost">'[1]P&amp;L'!$B$20</definedName>
    <definedName name="TotalWageCostYr">'[1]P&amp;L'!$C$44</definedName>
    <definedName name="TotalWageMonthly">'[1]P&amp;L'!$B$44</definedName>
    <definedName name="TypeValidation">[5]Validation!$B$2:$B$7</definedName>
    <definedName name="Utilities">[1]Assumptions!$B$52</definedName>
    <definedName name="UtilitiesYr">'[1]P&amp;L'!$C$15</definedName>
    <definedName name="Vehicle">[1]Assumptions!$B$40</definedName>
    <definedName name="VehicleYr">'[1]P&amp;L'!$C$8</definedName>
    <definedName name="W_A_B_O_">'[1]P&amp;L'!#REF!</definedName>
    <definedName name="WA_B_O_Taxs">[1]Assumptions!$B$36</definedName>
    <definedName name="WA_BO_Tax">[1]Assumptions!#REF!</definedName>
    <definedName name="WA_BO_Taxes">[1]Assumptions!#REF!</definedName>
    <definedName name="WABO">[1]Assumptions!#REF!</definedName>
    <definedName name="WABOTax">'[1]P&amp;L'!#REF!</definedName>
    <definedName name="Washington_B_O_Tax">[1]Assumptions!#REF!</definedName>
    <definedName name="YrsEdu">'[1]P&amp;L'!#REF!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3" l="1"/>
  <c r="C21" i="4"/>
  <c r="C23" i="4"/>
  <c r="G17" i="5"/>
  <c r="G18" i="5"/>
  <c r="G19" i="5"/>
  <c r="B43" i="1"/>
  <c r="C43" i="1" s="1"/>
  <c r="E11" i="5"/>
  <c r="G11" i="5" s="1"/>
  <c r="E12" i="5"/>
  <c r="E13" i="5"/>
  <c r="E14" i="5"/>
  <c r="E15" i="5"/>
  <c r="E16" i="5"/>
  <c r="E17" i="5"/>
  <c r="E18" i="5"/>
  <c r="E19" i="5"/>
  <c r="E20" i="5"/>
  <c r="E21" i="5"/>
  <c r="E22" i="5"/>
  <c r="E10" i="5"/>
  <c r="D11" i="5"/>
  <c r="D12" i="5"/>
  <c r="G12" i="5" s="1"/>
  <c r="D13" i="5"/>
  <c r="G13" i="5" s="1"/>
  <c r="D14" i="5"/>
  <c r="G14" i="5" s="1"/>
  <c r="D15" i="5"/>
  <c r="G15" i="5" s="1"/>
  <c r="D16" i="5"/>
  <c r="G16" i="5" s="1"/>
  <c r="D17" i="5"/>
  <c r="D18" i="5"/>
  <c r="D19" i="5"/>
  <c r="D20" i="5"/>
  <c r="G20" i="5" s="1"/>
  <c r="D21" i="5"/>
  <c r="G21" i="5" s="1"/>
  <c r="D22" i="5"/>
  <c r="G22" i="5" s="1"/>
  <c r="D10" i="5"/>
  <c r="G10" i="5" s="1"/>
  <c r="B10" i="3" l="1"/>
  <c r="B9" i="3"/>
  <c r="B8" i="3"/>
  <c r="B7" i="3"/>
  <c r="B6" i="3"/>
  <c r="B5" i="3"/>
  <c r="B4" i="3"/>
  <c r="C50" i="2"/>
  <c r="C49" i="2"/>
  <c r="C48" i="2"/>
  <c r="F30" i="2"/>
  <c r="F31" i="2" s="1"/>
  <c r="F32" i="2" s="1"/>
  <c r="E30" i="2"/>
  <c r="E31" i="2" s="1"/>
  <c r="E32" i="2" s="1"/>
  <c r="D30" i="2"/>
  <c r="D58" i="1"/>
  <c r="C57" i="1"/>
  <c r="C56" i="1"/>
  <c r="C55" i="1"/>
  <c r="C54" i="1"/>
  <c r="C53" i="1"/>
  <c r="C52" i="1"/>
  <c r="C51" i="1"/>
  <c r="C50" i="1"/>
  <c r="C49" i="1"/>
  <c r="C48" i="1"/>
  <c r="C47" i="1"/>
  <c r="D42" i="1"/>
  <c r="B32" i="1"/>
  <c r="E31" i="1"/>
  <c r="D31" i="1"/>
  <c r="B31" i="1" s="1"/>
  <c r="B30" i="1"/>
  <c r="B19" i="1"/>
  <c r="C18" i="1"/>
  <c r="C17" i="1"/>
  <c r="C16" i="1"/>
  <c r="C4" i="3" l="1"/>
  <c r="E4" i="3" s="1"/>
  <c r="C5" i="3"/>
  <c r="E5" i="3" s="1"/>
  <c r="C6" i="3"/>
  <c r="E6" i="3" s="1"/>
  <c r="B36" i="1"/>
  <c r="C10" i="3" s="1"/>
  <c r="E10" i="3" s="1"/>
  <c r="G30" i="2"/>
  <c r="B35" i="1"/>
  <c r="D35" i="1" s="1"/>
  <c r="D44" i="1"/>
  <c r="C6" i="5"/>
  <c r="F10" i="5" s="1"/>
  <c r="F11" i="5" s="1"/>
  <c r="F12" i="5" s="1"/>
  <c r="F13" i="5" s="1"/>
  <c r="F14" i="5" s="1"/>
  <c r="F15" i="5" s="1"/>
  <c r="F16" i="5" s="1"/>
  <c r="F17" i="5" s="1"/>
  <c r="F18" i="5" s="1"/>
  <c r="F19" i="5" s="1"/>
  <c r="F20" i="5" s="1"/>
  <c r="F21" i="5" s="1"/>
  <c r="F22" i="5" s="1"/>
  <c r="D31" i="2"/>
  <c r="D32" i="2" s="1"/>
  <c r="D34" i="2" s="1"/>
  <c r="E33" i="2"/>
  <c r="C38" i="2" s="1"/>
  <c r="E34" i="2"/>
  <c r="F33" i="2"/>
  <c r="C41" i="2" s="1"/>
  <c r="F34" i="2"/>
  <c r="C58" i="1"/>
  <c r="G32" i="2" l="1"/>
  <c r="D33" i="2"/>
  <c r="G33" i="2" s="1"/>
  <c r="C9" i="3"/>
  <c r="E9" i="3" s="1"/>
  <c r="G31" i="2"/>
  <c r="G34" i="2"/>
  <c r="C37" i="2" l="1"/>
  <c r="C39" i="2"/>
  <c r="B33" i="1" s="1"/>
  <c r="D33" i="1" s="1"/>
  <c r="C7" i="3" l="1"/>
  <c r="E7" i="3" s="1"/>
  <c r="D34" i="1"/>
  <c r="B34" i="1" s="1"/>
  <c r="C41" i="1"/>
  <c r="C44" i="1" l="1"/>
  <c r="C42" i="1"/>
  <c r="D37" i="1"/>
  <c r="C46" i="1"/>
  <c r="C8" i="3"/>
  <c r="B37" i="1"/>
  <c r="C18" i="3" l="1"/>
  <c r="E18" i="3" s="1"/>
  <c r="E8" i="3"/>
  <c r="E11" i="3" s="1"/>
  <c r="G9" i="3" s="1"/>
  <c r="C11" i="3"/>
  <c r="C15" i="3" l="1"/>
  <c r="C14" i="3"/>
  <c r="C13" i="3"/>
  <c r="C16" i="3" l="1"/>
  <c r="G10" i="3" s="1"/>
  <c r="E13" i="3"/>
  <c r="E14" i="3"/>
  <c r="E15" i="3"/>
  <c r="E16" i="3" l="1"/>
  <c r="C20" i="3"/>
  <c r="C21" i="3" l="1"/>
  <c r="D6" i="3"/>
  <c r="D10" i="3"/>
  <c r="D5" i="3"/>
  <c r="D4" i="3"/>
  <c r="D9" i="3"/>
  <c r="D7" i="3"/>
  <c r="D18" i="3"/>
  <c r="D8" i="3"/>
  <c r="D13" i="3"/>
  <c r="D14" i="3"/>
  <c r="D15" i="3"/>
  <c r="C9" i="4" l="1"/>
  <c r="C8" i="4"/>
  <c r="D16" i="3"/>
  <c r="D11" i="3"/>
</calcChain>
</file>

<file path=xl/sharedStrings.xml><?xml version="1.0" encoding="utf-8"?>
<sst xmlns="http://schemas.openxmlformats.org/spreadsheetml/2006/main" count="173" uniqueCount="143">
  <si>
    <t>EPS Rate August, 2023</t>
  </si>
  <si>
    <t>Assumptions: The following are used to drive the model and may be changed here to impact the modeling.</t>
  </si>
  <si>
    <t>Number of Beds:</t>
  </si>
  <si>
    <t xml:space="preserve">Taxes </t>
  </si>
  <si>
    <t>WA-State</t>
  </si>
  <si>
    <t>Type of Taxes</t>
  </si>
  <si>
    <t>Yearly</t>
  </si>
  <si>
    <t>Notes</t>
  </si>
  <si>
    <t xml:space="preserve">Federal </t>
  </si>
  <si>
    <t>Payroll Taxes</t>
  </si>
  <si>
    <t>Washington B&amp;O Tax</t>
  </si>
  <si>
    <t xml:space="preserve">                                                </t>
  </si>
  <si>
    <t>Source: Washington Workforce Training and Education Coordinating Board, https://www.wtb.wa.gov/planning-programs/regional-workforce-plans/</t>
  </si>
  <si>
    <t>Benefits and Training</t>
  </si>
  <si>
    <t>Type of Benefits</t>
  </si>
  <si>
    <t>Hours or Dollars (Yearly)</t>
  </si>
  <si>
    <t>% of 2080 Hrs (Yearly)</t>
  </si>
  <si>
    <t>PTO - 120 hrs yearly</t>
  </si>
  <si>
    <t>Holliday - 88 hrs yearly</t>
  </si>
  <si>
    <t>Training - 40 hrs yearly</t>
  </si>
  <si>
    <t>Staff Health, Dental, Vision Insurance per FTE per year</t>
  </si>
  <si>
    <t>Per fTE</t>
  </si>
  <si>
    <t xml:space="preserve">Professional Development </t>
  </si>
  <si>
    <t>Staff to Kid Ratio</t>
  </si>
  <si>
    <t>Shifts</t>
  </si>
  <si>
    <t>Ratio</t>
  </si>
  <si>
    <t>Daytime Staff (8AM to Midnight)</t>
  </si>
  <si>
    <t>1:3</t>
  </si>
  <si>
    <t>1 DCS 8AM to 5pm + 1 PM; 2 DCS 5pm to Midnight</t>
  </si>
  <si>
    <t>Overnight (Midnight to 7AM)</t>
  </si>
  <si>
    <t>2 DCS Midnight to 7AM</t>
  </si>
  <si>
    <t>Weekend</t>
  </si>
  <si>
    <t>2 DCS 8AM to Midnight</t>
  </si>
  <si>
    <t>Staff Costs</t>
  </si>
  <si>
    <t>Position</t>
  </si>
  <si>
    <t># of Hrs/Month</t>
  </si>
  <si>
    <t>Hourly Rate</t>
  </si>
  <si>
    <t>Total FTE</t>
  </si>
  <si>
    <t>Based on 2080 Working Hr Per Year Calculation. Paid Time Off (PTO), Holiday are included for all positions, DCS PTO, holidays and training are calculated Separately as "Direct Care Staff (DCS) Benefits/Relief Coverage</t>
  </si>
  <si>
    <t>Executive*</t>
  </si>
  <si>
    <t>Directors*</t>
  </si>
  <si>
    <t xml:space="preserve">1:6 supervision </t>
  </si>
  <si>
    <t>Program Management/Direct Care Supervisor*</t>
  </si>
  <si>
    <t>Direct Care PTO/Holliday Coverage</t>
  </si>
  <si>
    <t>Administrative</t>
  </si>
  <si>
    <t>.5 hour per youth per week</t>
  </si>
  <si>
    <t>Maintenance Staff Expense</t>
  </si>
  <si>
    <t>Higher Maintiance due to emergency status placement</t>
  </si>
  <si>
    <t>Sub-Total</t>
  </si>
  <si>
    <t>Overhead Costs</t>
  </si>
  <si>
    <t>Cost Items</t>
  </si>
  <si>
    <t>Monthly</t>
  </si>
  <si>
    <t>$</t>
  </si>
  <si>
    <t>Contract required Staff, Training, &amp; Certificates</t>
  </si>
  <si>
    <t>Scaled to staffing</t>
  </si>
  <si>
    <t>Per FTE Per Year</t>
  </si>
  <si>
    <t xml:space="preserve">Car &amp; Truck Expenses </t>
  </si>
  <si>
    <t>Staff Health Insurance</t>
  </si>
  <si>
    <t>Per FTE per year</t>
  </si>
  <si>
    <t>Insurance (except health)</t>
  </si>
  <si>
    <t>Bookkeeping Services</t>
  </si>
  <si>
    <t>Scale to staffing</t>
  </si>
  <si>
    <t>Attorney/CPA</t>
  </si>
  <si>
    <t>Fixed cost</t>
  </si>
  <si>
    <t>Licenses &amp; Permits</t>
  </si>
  <si>
    <t>Office Expense</t>
  </si>
  <si>
    <t>per Bed per month</t>
  </si>
  <si>
    <t>Facilitiy Repairs materials</t>
  </si>
  <si>
    <t>Basic Clothing Necessities*</t>
  </si>
  <si>
    <t>Medical Equipment</t>
  </si>
  <si>
    <t>Food &amp; Beverage</t>
  </si>
  <si>
    <t>Child/Youth Incidentals, activities &amp; supplies**</t>
  </si>
  <si>
    <t>Utilities (phone,electric,cable)*</t>
  </si>
  <si>
    <t>Recruitment Employment Ads</t>
  </si>
  <si>
    <t>Staff Equipment</t>
  </si>
  <si>
    <t>Rental Costs*</t>
  </si>
  <si>
    <t xml:space="preserve">regionalized </t>
  </si>
  <si>
    <t>Additional Notes</t>
  </si>
  <si>
    <t>Funding that can only be implemented with new Contract requirement*</t>
  </si>
  <si>
    <t>Direct Care Staffing Schedule</t>
  </si>
  <si>
    <t>Shift Start Time</t>
  </si>
  <si>
    <t>Weekday staff (Not including PM/Supervisor)</t>
  </si>
  <si>
    <t>Weekends</t>
  </si>
  <si>
    <t>Overnight</t>
  </si>
  <si>
    <t>AM</t>
  </si>
  <si>
    <t>PM</t>
  </si>
  <si>
    <t>AM (Overnight)</t>
  </si>
  <si>
    <t>Sum of hours</t>
  </si>
  <si>
    <t>x # of Days (weekly)</t>
  </si>
  <si>
    <t>x 52 (annual)</t>
  </si>
  <si>
    <t>/ 12 (monthly)</t>
  </si>
  <si>
    <t>FTE 2080</t>
  </si>
  <si>
    <t>Monthly Hours For Assumption Calculation</t>
  </si>
  <si>
    <t>Weekday</t>
  </si>
  <si>
    <t>Daytime Total</t>
  </si>
  <si>
    <t>weekday + weekend</t>
  </si>
  <si>
    <t>Night</t>
  </si>
  <si>
    <t xml:space="preserve">Coverage </t>
  </si>
  <si>
    <t>% of Monthly Costs</t>
  </si>
  <si>
    <t>Personnel</t>
  </si>
  <si>
    <t>Federal Tax Rate</t>
  </si>
  <si>
    <t>Overhead</t>
  </si>
  <si>
    <t>EPS Program Costs</t>
  </si>
  <si>
    <t>EPS Per bed Rate (Monthly)</t>
  </si>
  <si>
    <t>WA-State Average</t>
  </si>
  <si>
    <t>Effective July 1, 2024</t>
  </si>
  <si>
    <t>WASHINGTON STATE DEPARTMENT OF CHILDREN, YOUTH, AND FAMILIES</t>
  </si>
  <si>
    <t>Emergency Placement Services - Published Rates</t>
  </si>
  <si>
    <t>Effective , July 1 2024</t>
  </si>
  <si>
    <t>Extra Supervisorn - Hourly Rate</t>
  </si>
  <si>
    <t>Direct Care Staff</t>
  </si>
  <si>
    <t xml:space="preserve">Direct Care staff Yearly Wages and Benefits </t>
  </si>
  <si>
    <t>Regions</t>
  </si>
  <si>
    <t>Portion of DCS to all staff</t>
  </si>
  <si>
    <t>portion of  bed dependent costs of all costs</t>
  </si>
  <si>
    <t>Snohomish</t>
  </si>
  <si>
    <t>Northwest</t>
  </si>
  <si>
    <t>Olympic</t>
  </si>
  <si>
    <t>Pacific-Mountain</t>
  </si>
  <si>
    <t>Seattle-King</t>
  </si>
  <si>
    <t>Tacoma-Pierce</t>
  </si>
  <si>
    <t>Southwest</t>
  </si>
  <si>
    <t>North-Central</t>
  </si>
  <si>
    <t>South-Central</t>
  </si>
  <si>
    <t>Eastern</t>
  </si>
  <si>
    <t>Benton-Franklin</t>
  </si>
  <si>
    <t>Spokane</t>
  </si>
  <si>
    <t>Yearly PTO</t>
  </si>
  <si>
    <t>Base Hourly Wages*</t>
  </si>
  <si>
    <t xml:space="preserve">*Wage per Hour with Estimated 5% Wage Inflation Modifier as of 10/17/23. Wages are capped at WA-State average. </t>
  </si>
  <si>
    <t>WA-State average</t>
  </si>
  <si>
    <t>Yearly Holidays</t>
  </si>
  <si>
    <t>Health Yearly</t>
  </si>
  <si>
    <t>Monthly filled bed portions</t>
  </si>
  <si>
    <t xml:space="preserve">Fixed Slot Payment </t>
  </si>
  <si>
    <t>Monthly Base Rate per Bed</t>
  </si>
  <si>
    <t>Monthly Occupancy Rate per Bed</t>
  </si>
  <si>
    <t>Miles per month per youth at OFM mileage Per Diem Rate 2023. 250 Miles per youth</t>
  </si>
  <si>
    <t>Avg Yearly Wage and benefits</t>
  </si>
  <si>
    <t>Daily Occupancy Rate per Bed</t>
  </si>
  <si>
    <t xml:space="preserve">Standard Payment </t>
  </si>
  <si>
    <t>Adjusted Daily Occupancy Rate</t>
  </si>
  <si>
    <t xml:space="preserve">Daily Occupancy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</si>
</sst>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
    <numFmt numFmtId="167" formatCode="_(&quot;$&quot;* #,##0_);_(&quot;$&quot;* \(#,##0\);_(&quot;$&quot;* &quot;-&quot;??_);_(@_)"/>
    <numFmt numFmtId="168" formatCode="hh:mm"/>
    <numFmt numFmtId="169" formatCode="0.000"/>
    <numFmt numFmtId="170" formatCode="&quot;$&quot;#,##0"/>
  </numFmts>
  <fonts count="25" x14ac:knownFonts="1">
    <font>
      <sz val="11"/>
      <color theme="1"/>
      <name val="Aptos Narrow"/>
      <family val="2"/>
      <scheme val="minor"/>
    </font>
    <font>
      <sz val="11"/>
      <color theme="1"/>
      <name val="Aptos Narrow"/>
      <family val="2"/>
      <scheme val="minor"/>
    </font>
    <font>
      <b/>
      <sz val="15"/>
      <color theme="3"/>
      <name val="Aptos Narrow"/>
      <family val="2"/>
      <scheme val="minor"/>
    </font>
    <font>
      <sz val="11"/>
      <color rgb="FF9C5700"/>
      <name val="Aptos Narrow"/>
      <family val="2"/>
      <scheme val="minor"/>
    </font>
    <font>
      <b/>
      <sz val="11"/>
      <color theme="1"/>
      <name val="Aptos Narrow"/>
      <family val="2"/>
      <scheme val="minor"/>
    </font>
    <font>
      <u/>
      <sz val="11"/>
      <color theme="10"/>
      <name val="Aptos Narrow"/>
      <family val="2"/>
      <scheme val="minor"/>
    </font>
    <font>
      <b/>
      <sz val="14"/>
      <color theme="1"/>
      <name val="Aptos Narrow"/>
      <family val="2"/>
      <scheme val="minor"/>
    </font>
    <font>
      <sz val="12"/>
      <color theme="1"/>
      <name val="Aptos Narrow"/>
      <family val="2"/>
      <scheme val="minor"/>
    </font>
    <font>
      <sz val="13"/>
      <color theme="1"/>
      <name val="Aptos Narrow"/>
      <family val="2"/>
      <scheme val="minor"/>
    </font>
    <font>
      <b/>
      <sz val="12"/>
      <color theme="1"/>
      <name val="Aptos Narrow"/>
      <family val="2"/>
      <scheme val="minor"/>
    </font>
    <font>
      <i/>
      <sz val="11"/>
      <color theme="1"/>
      <name val="Aptos Narrow"/>
      <family val="2"/>
      <scheme val="minor"/>
    </font>
    <font>
      <u/>
      <sz val="5"/>
      <color theme="10"/>
      <name val="Aptos Narrow"/>
      <family val="2"/>
      <scheme val="minor"/>
    </font>
    <font>
      <i/>
      <sz val="8"/>
      <color theme="1"/>
      <name val="Aptos Narrow"/>
      <family val="2"/>
      <scheme val="minor"/>
    </font>
    <font>
      <b/>
      <i/>
      <sz val="11"/>
      <color theme="1"/>
      <name val="Aptos Narrow"/>
      <family val="2"/>
      <scheme val="minor"/>
    </font>
    <font>
      <sz val="8"/>
      <color theme="1"/>
      <name val="Aptos Narrow"/>
      <family val="2"/>
      <scheme val="minor"/>
    </font>
    <font>
      <sz val="1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
      <b/>
      <i/>
      <sz val="10"/>
      <color theme="1"/>
      <name val="Aptos Narrow"/>
      <family val="2"/>
      <scheme val="minor"/>
    </font>
    <font>
      <b/>
      <sz val="11"/>
      <color theme="4"/>
      <name val="Aptos Narrow"/>
      <family val="2"/>
      <scheme val="minor"/>
    </font>
    <font>
      <sz val="11"/>
      <color theme="4"/>
      <name val="Aptos Narrow"/>
      <family val="2"/>
      <scheme val="minor"/>
    </font>
    <font>
      <sz val="9"/>
      <color theme="1"/>
      <name val="Aptos Narrow"/>
      <family val="2"/>
      <scheme val="minor"/>
    </font>
    <font>
      <sz val="11"/>
      <color rgb="FF000000"/>
      <name val="Calibri"/>
      <family val="2"/>
    </font>
    <font>
      <sz val="11"/>
      <color theme="0"/>
      <name val="Aptos Narrow"/>
      <family val="2"/>
      <scheme val="minor"/>
    </font>
  </fonts>
  <fills count="11">
    <fill>
      <patternFill patternType="none"/>
    </fill>
    <fill>
      <patternFill patternType="gray125"/>
    </fill>
    <fill>
      <patternFill patternType="solid">
        <fgColor rgb="FFFFEB9C"/>
      </patternFill>
    </fill>
    <fill>
      <patternFill patternType="solid">
        <fgColor theme="9" tint="0.79998168889431442"/>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39997558519241921"/>
        <bgColor indexed="64"/>
      </patternFill>
    </fill>
  </fills>
  <borders count="35">
    <border>
      <left/>
      <right/>
      <top/>
      <bottom/>
      <diagonal/>
    </border>
    <border>
      <left/>
      <right/>
      <top/>
      <bottom style="thick">
        <color theme="4"/>
      </bottom>
      <diagonal/>
    </border>
    <border>
      <left/>
      <right/>
      <top style="thin">
        <color theme="4"/>
      </top>
      <bottom style="double">
        <color theme="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2" borderId="0" applyNumberFormat="0" applyBorder="0" applyAlignment="0" applyProtection="0"/>
    <xf numFmtId="0" fontId="4" fillId="0" borderId="2" applyNumberFormat="0" applyFill="0" applyAlignment="0" applyProtection="0"/>
    <xf numFmtId="0" fontId="5" fillId="0" borderId="0" applyNumberFormat="0" applyFill="0" applyBorder="0" applyAlignment="0" applyProtection="0"/>
  </cellStyleXfs>
  <cellXfs count="238">
    <xf numFmtId="0" fontId="0" fillId="0" borderId="0" xfId="0"/>
    <xf numFmtId="0" fontId="6" fillId="0" borderId="0" xfId="0" applyFont="1"/>
    <xf numFmtId="0" fontId="7" fillId="0" borderId="0" xfId="0" applyFont="1" applyAlignment="1">
      <alignment horizontal="center" vertical="center" wrapText="1"/>
    </xf>
    <xf numFmtId="0" fontId="8" fillId="0" borderId="0" xfId="0" applyFont="1" applyAlignment="1">
      <alignment horizontal="center" vertical="center" wrapText="1"/>
    </xf>
    <xf numFmtId="0" fontId="4" fillId="0" borderId="5" xfId="0" applyFont="1" applyBorder="1" applyAlignment="1">
      <alignment horizontal="center"/>
    </xf>
    <xf numFmtId="0" fontId="4" fillId="3" borderId="4" xfId="0" applyFont="1" applyFill="1" applyBorder="1" applyAlignment="1">
      <alignment horizontal="center"/>
    </xf>
    <xf numFmtId="0" fontId="4" fillId="0" borderId="0" xfId="0" applyFont="1"/>
    <xf numFmtId="0" fontId="9" fillId="0" borderId="0" xfId="0" applyFont="1"/>
    <xf numFmtId="164" fontId="4" fillId="4" borderId="9" xfId="1" applyNumberFormat="1" applyFont="1" applyFill="1" applyBorder="1" applyAlignment="1">
      <alignment horizontal="center"/>
    </xf>
    <xf numFmtId="0" fontId="10" fillId="5" borderId="10" xfId="0" applyFont="1" applyFill="1" applyBorder="1" applyAlignment="1">
      <alignment horizontal="center"/>
    </xf>
    <xf numFmtId="0" fontId="10" fillId="0" borderId="10" xfId="0" applyFont="1" applyBorder="1" applyAlignment="1">
      <alignment horizontal="center"/>
    </xf>
    <xf numFmtId="0" fontId="0" fillId="0" borderId="10" xfId="0" applyBorder="1"/>
    <xf numFmtId="9" fontId="0" fillId="0" borderId="10" xfId="3" applyFont="1" applyFill="1" applyBorder="1"/>
    <xf numFmtId="9" fontId="0" fillId="0" borderId="0" xfId="0" applyNumberFormat="1" applyAlignment="1">
      <alignment horizontal="center"/>
    </xf>
    <xf numFmtId="0" fontId="0" fillId="0" borderId="0" xfId="0" applyAlignment="1">
      <alignment horizontal="right"/>
    </xf>
    <xf numFmtId="9" fontId="8" fillId="0" borderId="0" xfId="0" applyNumberFormat="1" applyFont="1" applyAlignment="1">
      <alignment horizontal="center" vertical="center" wrapText="1"/>
    </xf>
    <xf numFmtId="165" fontId="0" fillId="0" borderId="10" xfId="3" applyNumberFormat="1" applyFont="1" applyFill="1" applyBorder="1"/>
    <xf numFmtId="9" fontId="0" fillId="0" borderId="0" xfId="3" applyFont="1"/>
    <xf numFmtId="0" fontId="11" fillId="0" borderId="0" xfId="7" applyFont="1" applyAlignment="1">
      <alignment vertical="center"/>
    </xf>
    <xf numFmtId="0" fontId="4" fillId="0" borderId="0" xfId="0" applyFont="1" applyAlignment="1">
      <alignment horizontal="center"/>
    </xf>
    <xf numFmtId="0" fontId="10" fillId="0" borderId="10" xfId="0" applyFont="1" applyBorder="1" applyAlignment="1">
      <alignment horizontal="center" wrapText="1"/>
    </xf>
    <xf numFmtId="0" fontId="0" fillId="0" borderId="10" xfId="0" applyBorder="1" applyAlignment="1">
      <alignment horizontal="center"/>
    </xf>
    <xf numFmtId="9" fontId="0" fillId="0" borderId="10" xfId="3" applyFont="1" applyBorder="1" applyAlignment="1">
      <alignment horizontal="center"/>
    </xf>
    <xf numFmtId="6" fontId="0" fillId="0" borderId="10" xfId="0" applyNumberFormat="1" applyBorder="1" applyAlignment="1">
      <alignment horizontal="center"/>
    </xf>
    <xf numFmtId="0" fontId="0" fillId="6" borderId="10" xfId="0" applyFill="1" applyBorder="1" applyAlignment="1">
      <alignment horizontal="center"/>
    </xf>
    <xf numFmtId="0" fontId="0" fillId="0" borderId="11" xfId="0" applyBorder="1"/>
    <xf numFmtId="6" fontId="0" fillId="0" borderId="0" xfId="0" applyNumberFormat="1" applyAlignment="1">
      <alignment horizontal="center"/>
    </xf>
    <xf numFmtId="164" fontId="10" fillId="0" borderId="10" xfId="0" applyNumberFormat="1" applyFont="1" applyBorder="1" applyAlignment="1">
      <alignment horizontal="center"/>
    </xf>
    <xf numFmtId="0" fontId="0" fillId="0" borderId="10" xfId="0" quotePrefix="1" applyBorder="1"/>
    <xf numFmtId="0" fontId="0" fillId="0" borderId="10" xfId="0" applyBorder="1" applyAlignment="1">
      <alignment horizontal="center" wrapText="1"/>
    </xf>
    <xf numFmtId="164" fontId="4" fillId="4" borderId="14" xfId="1" applyNumberFormat="1" applyFont="1" applyFill="1" applyBorder="1" applyAlignment="1">
      <alignment horizontal="center"/>
    </xf>
    <xf numFmtId="0" fontId="0" fillId="6" borderId="10" xfId="0" applyFill="1" applyBorder="1"/>
    <xf numFmtId="0" fontId="4" fillId="6" borderId="10" xfId="0" applyFont="1" applyFill="1" applyBorder="1"/>
    <xf numFmtId="164" fontId="0" fillId="0" borderId="10" xfId="0" applyNumberFormat="1" applyBorder="1" applyAlignment="1">
      <alignment horizontal="left"/>
    </xf>
    <xf numFmtId="166" fontId="0" fillId="0" borderId="10" xfId="2" applyNumberFormat="1" applyFont="1" applyFill="1" applyBorder="1" applyAlignment="1">
      <alignment horizontal="center"/>
    </xf>
    <xf numFmtId="7" fontId="0" fillId="3" borderId="10" xfId="2" applyNumberFormat="1" applyFont="1" applyFill="1" applyBorder="1" applyAlignment="1">
      <alignment horizontal="center"/>
    </xf>
    <xf numFmtId="4" fontId="0" fillId="0" borderId="10" xfId="0" applyNumberFormat="1" applyBorder="1" applyAlignment="1">
      <alignment vertical="center"/>
    </xf>
    <xf numFmtId="0" fontId="13" fillId="0" borderId="13" xfId="0" applyFont="1" applyBorder="1"/>
    <xf numFmtId="166" fontId="13" fillId="0" borderId="10" xfId="2" applyNumberFormat="1" applyFont="1" applyFill="1" applyBorder="1" applyAlignment="1">
      <alignment horizontal="center"/>
    </xf>
    <xf numFmtId="5" fontId="13" fillId="7" borderId="10" xfId="2" applyNumberFormat="1" applyFont="1" applyFill="1" applyBorder="1" applyAlignment="1"/>
    <xf numFmtId="4" fontId="13" fillId="0" borderId="10" xfId="2" applyNumberFormat="1" applyFont="1" applyFill="1" applyBorder="1" applyAlignment="1">
      <alignment vertical="center"/>
    </xf>
    <xf numFmtId="5" fontId="13" fillId="7" borderId="15" xfId="2" applyNumberFormat="1" applyFont="1" applyFill="1" applyBorder="1" applyAlignment="1"/>
    <xf numFmtId="5" fontId="13" fillId="7" borderId="14" xfId="2" applyNumberFormat="1" applyFont="1" applyFill="1" applyBorder="1" applyAlignment="1"/>
    <xf numFmtId="164" fontId="0" fillId="0" borderId="0" xfId="0" applyNumberFormat="1" applyAlignment="1">
      <alignment horizontal="left"/>
    </xf>
    <xf numFmtId="44" fontId="0" fillId="0" borderId="0" xfId="2" applyFont="1" applyFill="1" applyBorder="1"/>
    <xf numFmtId="43" fontId="0" fillId="0" borderId="0" xfId="1" applyFont="1" applyFill="1" applyBorder="1" applyAlignment="1">
      <alignment horizontal="right"/>
    </xf>
    <xf numFmtId="0" fontId="0" fillId="0" borderId="13" xfId="0" applyBorder="1"/>
    <xf numFmtId="0" fontId="0" fillId="0" borderId="14" xfId="0" applyBorder="1" applyAlignment="1">
      <alignment wrapText="1"/>
    </xf>
    <xf numFmtId="0" fontId="14" fillId="0" borderId="0" xfId="0" applyFont="1"/>
    <xf numFmtId="0" fontId="0" fillId="0" borderId="6" xfId="0" applyBorder="1" applyAlignment="1">
      <alignment horizontal="left"/>
    </xf>
    <xf numFmtId="5" fontId="0" fillId="0" borderId="18" xfId="2" applyNumberFormat="1" applyFont="1" applyFill="1" applyBorder="1" applyAlignment="1">
      <alignment horizontal="center"/>
    </xf>
    <xf numFmtId="5" fontId="0" fillId="0" borderId="7" xfId="2" applyNumberFormat="1" applyFont="1" applyFill="1" applyBorder="1" applyAlignment="1">
      <alignment horizontal="center"/>
    </xf>
    <xf numFmtId="38" fontId="0" fillId="0" borderId="11" xfId="0" applyNumberFormat="1" applyBorder="1"/>
    <xf numFmtId="0" fontId="0" fillId="0" borderId="8" xfId="0" applyBorder="1" applyAlignment="1">
      <alignment wrapText="1"/>
    </xf>
    <xf numFmtId="0" fontId="9" fillId="0" borderId="0" xfId="0" applyFont="1" applyAlignment="1">
      <alignment horizontal="left"/>
    </xf>
    <xf numFmtId="0" fontId="0" fillId="0" borderId="10" xfId="0" applyBorder="1" applyAlignment="1">
      <alignment horizontal="left"/>
    </xf>
    <xf numFmtId="0" fontId="0" fillId="0" borderId="19" xfId="0" applyBorder="1" applyAlignment="1">
      <alignment horizontal="left"/>
    </xf>
    <xf numFmtId="0" fontId="5" fillId="0" borderId="20" xfId="7" applyFill="1" applyBorder="1" applyAlignment="1">
      <alignment wrapText="1"/>
    </xf>
    <xf numFmtId="9" fontId="0" fillId="0" borderId="0" xfId="3" applyFont="1" applyAlignment="1">
      <alignment horizontal="center" wrapText="1"/>
    </xf>
    <xf numFmtId="0" fontId="15" fillId="0" borderId="6" xfId="5" applyFont="1" applyFill="1" applyBorder="1" applyAlignment="1">
      <alignment horizontal="left"/>
    </xf>
    <xf numFmtId="0" fontId="0" fillId="0" borderId="19" xfId="0" applyBorder="1"/>
    <xf numFmtId="0" fontId="0" fillId="0" borderId="17" xfId="0" applyBorder="1" applyAlignment="1">
      <alignment wrapText="1"/>
    </xf>
    <xf numFmtId="0" fontId="0" fillId="0" borderId="16" xfId="0" applyBorder="1"/>
    <xf numFmtId="5" fontId="0" fillId="0" borderId="21" xfId="2" applyNumberFormat="1" applyFont="1" applyFill="1" applyBorder="1" applyAlignment="1">
      <alignment horizontal="center"/>
    </xf>
    <xf numFmtId="5" fontId="0" fillId="0" borderId="12" xfId="2" applyNumberFormat="1" applyFont="1" applyFill="1" applyBorder="1" applyAlignment="1">
      <alignment horizontal="center"/>
    </xf>
    <xf numFmtId="6" fontId="0" fillId="0" borderId="21" xfId="0" applyNumberFormat="1" applyBorder="1"/>
    <xf numFmtId="5" fontId="13" fillId="0" borderId="10" xfId="2" applyNumberFormat="1" applyFont="1" applyFill="1" applyBorder="1" applyAlignment="1">
      <alignment horizontal="center"/>
    </xf>
    <xf numFmtId="0" fontId="0" fillId="7" borderId="15" xfId="0" applyFill="1" applyBorder="1"/>
    <xf numFmtId="0" fontId="0" fillId="7" borderId="14" xfId="0" applyFill="1" applyBorder="1" applyAlignment="1">
      <alignment wrapText="1"/>
    </xf>
    <xf numFmtId="0" fontId="10" fillId="0" borderId="0" xfId="0" applyFont="1" applyAlignment="1">
      <alignment horizontal="center"/>
    </xf>
    <xf numFmtId="0" fontId="10" fillId="0" borderId="0" xfId="0" applyFont="1"/>
    <xf numFmtId="0" fontId="3" fillId="2" borderId="16" xfId="5" applyBorder="1" applyAlignment="1">
      <alignment wrapText="1"/>
    </xf>
    <xf numFmtId="0" fontId="3" fillId="2" borderId="17" xfId="5" applyBorder="1" applyAlignment="1">
      <alignment wrapText="1"/>
    </xf>
    <xf numFmtId="167" fontId="0" fillId="0" borderId="0" xfId="2" applyNumberFormat="1" applyFont="1"/>
    <xf numFmtId="0" fontId="16" fillId="0" borderId="10" xfId="0" applyFont="1" applyBorder="1" applyAlignment="1">
      <alignment horizontal="center" wrapText="1"/>
    </xf>
    <xf numFmtId="0" fontId="16" fillId="8" borderId="10" xfId="0" applyFont="1" applyFill="1" applyBorder="1" applyAlignment="1">
      <alignment horizontal="center" wrapText="1"/>
    </xf>
    <xf numFmtId="0" fontId="17" fillId="0" borderId="0" xfId="0" applyFont="1"/>
    <xf numFmtId="0" fontId="16" fillId="0" borderId="0" xfId="0" applyFont="1" applyAlignment="1">
      <alignment horizontal="center" wrapText="1"/>
    </xf>
    <xf numFmtId="168" fontId="17" fillId="0" borderId="19" xfId="0" applyNumberFormat="1" applyFont="1" applyBorder="1"/>
    <xf numFmtId="0" fontId="17" fillId="0" borderId="18" xfId="0" applyFont="1" applyBorder="1"/>
    <xf numFmtId="0" fontId="0" fillId="7" borderId="18" xfId="0" applyFill="1" applyBorder="1"/>
    <xf numFmtId="0" fontId="0" fillId="0" borderId="0" xfId="0" applyAlignment="1">
      <alignment vertical="center"/>
    </xf>
    <xf numFmtId="20" fontId="17" fillId="0" borderId="0" xfId="0" applyNumberFormat="1" applyFont="1"/>
    <xf numFmtId="0" fontId="0" fillId="0" borderId="0" xfId="0" applyAlignment="1">
      <alignment vertical="center" wrapText="1"/>
    </xf>
    <xf numFmtId="0" fontId="17" fillId="0" borderId="11" xfId="0" applyFont="1" applyBorder="1"/>
    <xf numFmtId="0" fontId="17" fillId="7" borderId="11" xfId="0" applyFont="1" applyFill="1" applyBorder="1"/>
    <xf numFmtId="168" fontId="18" fillId="0" borderId="10" xfId="0" applyNumberFormat="1" applyFont="1" applyBorder="1"/>
    <xf numFmtId="0" fontId="18" fillId="0" borderId="10" xfId="0" applyFont="1" applyBorder="1"/>
    <xf numFmtId="0" fontId="17" fillId="0" borderId="0" xfId="0" applyFont="1" applyAlignment="1">
      <alignment wrapText="1"/>
    </xf>
    <xf numFmtId="0" fontId="18" fillId="7" borderId="11" xfId="0" applyFont="1" applyFill="1" applyBorder="1"/>
    <xf numFmtId="0" fontId="0" fillId="0" borderId="0" xfId="0" applyAlignment="1">
      <alignment horizontal="center"/>
    </xf>
    <xf numFmtId="168" fontId="17" fillId="0" borderId="0" xfId="0" applyNumberFormat="1" applyFont="1"/>
    <xf numFmtId="168" fontId="17" fillId="8" borderId="0" xfId="0" applyNumberFormat="1" applyFont="1" applyFill="1"/>
    <xf numFmtId="0" fontId="17" fillId="7" borderId="0" xfId="0" applyFont="1" applyFill="1"/>
    <xf numFmtId="0" fontId="17" fillId="8" borderId="20" xfId="0" applyFont="1" applyFill="1" applyBorder="1"/>
    <xf numFmtId="168" fontId="17" fillId="8" borderId="12" xfId="0" applyNumberFormat="1" applyFont="1" applyFill="1" applyBorder="1"/>
    <xf numFmtId="0" fontId="17" fillId="7" borderId="12" xfId="0" applyFont="1" applyFill="1" applyBorder="1"/>
    <xf numFmtId="0" fontId="17" fillId="8" borderId="17" xfId="0" applyFont="1" applyFill="1" applyBorder="1"/>
    <xf numFmtId="0" fontId="0" fillId="0" borderId="23" xfId="0"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169" fontId="0" fillId="0" borderId="0" xfId="0" applyNumberFormat="1" applyAlignment="1">
      <alignment horizontal="center"/>
    </xf>
    <xf numFmtId="2" fontId="0" fillId="0" borderId="0" xfId="0" applyNumberFormat="1" applyAlignment="1">
      <alignment horizontal="center"/>
    </xf>
    <xf numFmtId="2" fontId="4" fillId="0" borderId="26" xfId="0" applyNumberFormat="1" applyFont="1" applyBorder="1" applyAlignment="1">
      <alignment horizontal="center"/>
    </xf>
    <xf numFmtId="169" fontId="0" fillId="0" borderId="28" xfId="0" applyNumberFormat="1" applyBorder="1" applyAlignment="1">
      <alignment horizontal="center"/>
    </xf>
    <xf numFmtId="169" fontId="4" fillId="0" borderId="29" xfId="0" applyNumberFormat="1" applyFont="1" applyBorder="1" applyAlignment="1">
      <alignment horizontal="center"/>
    </xf>
    <xf numFmtId="0" fontId="4" fillId="0" borderId="0" xfId="0" applyFont="1" applyAlignment="1">
      <alignment horizontal="left"/>
    </xf>
    <xf numFmtId="2" fontId="0" fillId="0" borderId="0" xfId="0" applyNumberFormat="1"/>
    <xf numFmtId="2" fontId="0" fillId="3" borderId="0" xfId="0" applyNumberFormat="1" applyFill="1" applyAlignment="1">
      <alignment horizontal="center"/>
    </xf>
    <xf numFmtId="2" fontId="0" fillId="9" borderId="12" xfId="0" applyNumberFormat="1" applyFill="1" applyBorder="1" applyAlignment="1">
      <alignment horizontal="center"/>
    </xf>
    <xf numFmtId="0" fontId="0" fillId="0" borderId="26" xfId="0" applyBorder="1" applyAlignment="1">
      <alignment horizont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9" fontId="0" fillId="0" borderId="0" xfId="3" applyFont="1" applyAlignment="1">
      <alignment horizontal="center"/>
    </xf>
    <xf numFmtId="9" fontId="0" fillId="0" borderId="0" xfId="0" applyNumberFormat="1"/>
    <xf numFmtId="0" fontId="13" fillId="0" borderId="0" xfId="0" applyFont="1" applyAlignment="1">
      <alignment horizontal="center"/>
    </xf>
    <xf numFmtId="0" fontId="4" fillId="0" borderId="13" xfId="0" applyFont="1" applyBorder="1"/>
    <xf numFmtId="0" fontId="4" fillId="0" borderId="15" xfId="0" applyFont="1" applyBorder="1"/>
    <xf numFmtId="0" fontId="4" fillId="0" borderId="14" xfId="0" applyFont="1" applyBorder="1"/>
    <xf numFmtId="164" fontId="0" fillId="8" borderId="19" xfId="0" applyNumberFormat="1" applyFill="1" applyBorder="1" applyAlignment="1">
      <alignment horizontal="left" wrapText="1"/>
    </xf>
    <xf numFmtId="167" fontId="0" fillId="8" borderId="0" xfId="2" applyNumberFormat="1" applyFont="1" applyFill="1" applyBorder="1" applyAlignment="1">
      <alignment horizontal="left"/>
    </xf>
    <xf numFmtId="9" fontId="0" fillId="8" borderId="0" xfId="2" applyNumberFormat="1" applyFont="1" applyFill="1" applyBorder="1"/>
    <xf numFmtId="44" fontId="0" fillId="8" borderId="20" xfId="2" applyFont="1" applyFill="1" applyBorder="1"/>
    <xf numFmtId="44" fontId="0" fillId="0" borderId="0" xfId="0" applyNumberFormat="1"/>
    <xf numFmtId="164" fontId="0" fillId="8" borderId="16" xfId="0" applyNumberFormat="1" applyFill="1" applyBorder="1" applyAlignment="1">
      <alignment horizontal="left" wrapText="1"/>
    </xf>
    <xf numFmtId="167" fontId="0" fillId="8" borderId="12" xfId="2" applyNumberFormat="1" applyFont="1" applyFill="1" applyBorder="1" applyAlignment="1">
      <alignment horizontal="left"/>
    </xf>
    <xf numFmtId="9" fontId="0" fillId="8" borderId="12" xfId="2" applyNumberFormat="1" applyFont="1" applyFill="1" applyBorder="1"/>
    <xf numFmtId="44" fontId="0" fillId="8" borderId="17" xfId="2" applyFont="1" applyFill="1" applyBorder="1"/>
    <xf numFmtId="164" fontId="4" fillId="8" borderId="6" xfId="0" applyNumberFormat="1" applyFont="1" applyFill="1" applyBorder="1" applyAlignment="1">
      <alignment horizontal="left"/>
    </xf>
    <xf numFmtId="7" fontId="0" fillId="8" borderId="7" xfId="0" applyNumberFormat="1" applyFill="1" applyBorder="1"/>
    <xf numFmtId="165" fontId="0" fillId="8" borderId="7" xfId="0" applyNumberFormat="1" applyFill="1" applyBorder="1"/>
    <xf numFmtId="7" fontId="0" fillId="8" borderId="8" xfId="0" applyNumberFormat="1" applyFill="1" applyBorder="1"/>
    <xf numFmtId="0" fontId="19" fillId="5" borderId="0" xfId="0" applyFont="1" applyFill="1" applyAlignment="1">
      <alignment horizontal="center" wrapText="1"/>
    </xf>
    <xf numFmtId="0" fontId="19" fillId="5" borderId="0" xfId="0" applyFont="1" applyFill="1" applyAlignment="1">
      <alignment horizontal="center"/>
    </xf>
    <xf numFmtId="0" fontId="0" fillId="9" borderId="0" xfId="0" applyFill="1"/>
    <xf numFmtId="167" fontId="0" fillId="9" borderId="0" xfId="2" applyNumberFormat="1" applyFont="1" applyFill="1" applyAlignment="1">
      <alignment horizontal="left"/>
    </xf>
    <xf numFmtId="9" fontId="0" fillId="9" borderId="0" xfId="2" applyNumberFormat="1" applyFont="1" applyFill="1"/>
    <xf numFmtId="167" fontId="0" fillId="9" borderId="0" xfId="2" applyNumberFormat="1" applyFont="1" applyFill="1"/>
    <xf numFmtId="164" fontId="4" fillId="9" borderId="6" xfId="0" applyNumberFormat="1" applyFont="1" applyFill="1" applyBorder="1" applyAlignment="1">
      <alignment horizontal="left"/>
    </xf>
    <xf numFmtId="7" fontId="0" fillId="9" borderId="7" xfId="0" applyNumberFormat="1" applyFill="1" applyBorder="1"/>
    <xf numFmtId="165" fontId="0" fillId="9" borderId="7" xfId="0" applyNumberFormat="1" applyFill="1" applyBorder="1"/>
    <xf numFmtId="7" fontId="0" fillId="9" borderId="8" xfId="0" applyNumberFormat="1" applyFill="1" applyBorder="1"/>
    <xf numFmtId="164" fontId="4" fillId="7" borderId="16" xfId="0" applyNumberFormat="1" applyFont="1" applyFill="1" applyBorder="1" applyAlignment="1">
      <alignment horizontal="left"/>
    </xf>
    <xf numFmtId="7" fontId="0" fillId="7" borderId="12" xfId="0" applyNumberFormat="1" applyFill="1" applyBorder="1"/>
    <xf numFmtId="165" fontId="0" fillId="7" borderId="12" xfId="0" applyNumberFormat="1" applyFill="1" applyBorder="1"/>
    <xf numFmtId="7" fontId="0" fillId="7" borderId="17" xfId="0" applyNumberFormat="1" applyFill="1" applyBorder="1"/>
    <xf numFmtId="0" fontId="4" fillId="0" borderId="6" xfId="0" applyFont="1" applyBorder="1"/>
    <xf numFmtId="7" fontId="4" fillId="0" borderId="7" xfId="0" applyNumberFormat="1" applyFont="1" applyBorder="1"/>
    <xf numFmtId="165" fontId="4" fillId="5" borderId="7" xfId="0" applyNumberFormat="1" applyFont="1" applyFill="1" applyBorder="1"/>
    <xf numFmtId="7" fontId="4" fillId="5" borderId="8" xfId="0" applyNumberFormat="1" applyFont="1" applyFill="1" applyBorder="1"/>
    <xf numFmtId="7" fontId="0" fillId="0" borderId="0" xfId="0" applyNumberFormat="1"/>
    <xf numFmtId="164" fontId="0" fillId="0" borderId="0" xfId="0" applyNumberFormat="1" applyAlignment="1">
      <alignment horizontal="right"/>
    </xf>
    <xf numFmtId="167" fontId="0" fillId="0" borderId="0" xfId="0" applyNumberFormat="1"/>
    <xf numFmtId="0" fontId="20" fillId="0" borderId="16" xfId="0" applyFont="1" applyBorder="1"/>
    <xf numFmtId="5" fontId="20" fillId="0" borderId="12" xfId="6" applyNumberFormat="1" applyFont="1" applyFill="1" applyBorder="1"/>
    <xf numFmtId="5" fontId="20" fillId="5" borderId="0" xfId="6" applyNumberFormat="1" applyFont="1" applyFill="1" applyBorder="1"/>
    <xf numFmtId="0" fontId="4" fillId="5" borderId="20" xfId="0" applyFont="1" applyFill="1" applyBorder="1"/>
    <xf numFmtId="0" fontId="21" fillId="0" borderId="6" xfId="0" applyFont="1" applyBorder="1" applyAlignment="1">
      <alignment horizontal="left" wrapText="1" indent="1"/>
    </xf>
    <xf numFmtId="0" fontId="0" fillId="5" borderId="0" xfId="0" applyFill="1"/>
    <xf numFmtId="0" fontId="0" fillId="5" borderId="20" xfId="0" applyFill="1" applyBorder="1"/>
    <xf numFmtId="0" fontId="21" fillId="0" borderId="16" xfId="0" applyFont="1" applyBorder="1" applyAlignment="1">
      <alignment horizontal="left" indent="1"/>
    </xf>
    <xf numFmtId="0" fontId="0" fillId="5" borderId="12" xfId="0" applyFill="1" applyBorder="1"/>
    <xf numFmtId="0" fontId="0" fillId="5" borderId="17" xfId="0" applyFill="1" applyBorder="1"/>
    <xf numFmtId="167" fontId="0" fillId="0" borderId="0" xfId="2" applyNumberFormat="1" applyFont="1" applyAlignment="1">
      <alignment horizontal="left"/>
    </xf>
    <xf numFmtId="44" fontId="0" fillId="0" borderId="0" xfId="2" applyFont="1"/>
    <xf numFmtId="9" fontId="0" fillId="0" borderId="0" xfId="2" applyNumberFormat="1" applyFont="1"/>
    <xf numFmtId="44" fontId="0" fillId="0" borderId="0" xfId="2" applyFont="1" applyAlignment="1">
      <alignment horizontal="left"/>
    </xf>
    <xf numFmtId="6" fontId="4" fillId="10" borderId="30" xfId="0" applyNumberFormat="1" applyFont="1" applyFill="1" applyBorder="1"/>
    <xf numFmtId="0" fontId="23" fillId="0" borderId="0" xfId="0" applyFont="1" applyAlignment="1">
      <alignment horizontal="left" vertical="center" wrapText="1"/>
    </xf>
    <xf numFmtId="8" fontId="0" fillId="0" borderId="0" xfId="0" applyNumberFormat="1" applyAlignment="1">
      <alignment horizontal="center"/>
    </xf>
    <xf numFmtId="5" fontId="0" fillId="0" borderId="0" xfId="0" applyNumberFormat="1" applyAlignment="1">
      <alignment horizontal="center"/>
    </xf>
    <xf numFmtId="9" fontId="23" fillId="0" borderId="0" xfId="0" applyNumberFormat="1" applyFont="1" applyAlignment="1">
      <alignment horizontal="center" vertical="center" wrapText="1"/>
    </xf>
    <xf numFmtId="165" fontId="0" fillId="0" borderId="0" xfId="3" applyNumberFormat="1" applyFont="1"/>
    <xf numFmtId="0" fontId="4" fillId="0" borderId="25" xfId="0" applyFont="1" applyBorder="1"/>
    <xf numFmtId="0" fontId="10" fillId="0" borderId="25" xfId="0" applyFont="1" applyBorder="1" applyAlignment="1">
      <alignment wrapText="1"/>
    </xf>
    <xf numFmtId="0" fontId="0" fillId="0" borderId="25" xfId="0" applyBorder="1" applyAlignment="1" applyProtection="1">
      <alignment horizontal="left" wrapText="1"/>
      <protection locked="0"/>
    </xf>
    <xf numFmtId="9" fontId="21" fillId="0" borderId="12" xfId="0" applyNumberFormat="1" applyFont="1" applyBorder="1"/>
    <xf numFmtId="9" fontId="21" fillId="0" borderId="7" xfId="0" applyNumberFormat="1" applyFont="1" applyBorder="1"/>
    <xf numFmtId="6" fontId="24" fillId="0" borderId="0" xfId="0" applyNumberFormat="1" applyFont="1" applyAlignment="1">
      <alignment horizontal="center"/>
    </xf>
    <xf numFmtId="0" fontId="4" fillId="0" borderId="0" xfId="0" applyFont="1" applyAlignment="1">
      <alignment horizontal="center" wrapText="1"/>
    </xf>
    <xf numFmtId="7" fontId="0" fillId="0" borderId="0" xfId="0" applyNumberFormat="1" applyAlignment="1">
      <alignment horizontal="center"/>
    </xf>
    <xf numFmtId="0" fontId="0" fillId="0" borderId="0" xfId="0" applyAlignment="1">
      <alignment wrapText="1"/>
    </xf>
    <xf numFmtId="8" fontId="0" fillId="0" borderId="0" xfId="0" applyNumberFormat="1" applyAlignment="1">
      <alignment horizontal="center" wrapText="1"/>
    </xf>
    <xf numFmtId="0" fontId="4" fillId="0" borderId="34" xfId="0" applyFont="1" applyBorder="1" applyAlignment="1">
      <alignment wrapText="1"/>
    </xf>
    <xf numFmtId="0" fontId="0" fillId="0" borderId="34" xfId="0" applyBorder="1" applyAlignment="1">
      <alignment wrapText="1"/>
    </xf>
    <xf numFmtId="6" fontId="4" fillId="0" borderId="34" xfId="0" applyNumberFormat="1" applyFont="1" applyBorder="1" applyAlignment="1">
      <alignment horizontal="center"/>
    </xf>
    <xf numFmtId="170" fontId="0" fillId="0" borderId="26" xfId="0" applyNumberFormat="1" applyBorder="1"/>
    <xf numFmtId="5" fontId="0" fillId="0" borderId="26" xfId="0" applyNumberFormat="1" applyBorder="1" applyAlignment="1">
      <alignment horizontal="center"/>
    </xf>
    <xf numFmtId="7" fontId="0" fillId="0" borderId="29" xfId="0" applyNumberFormat="1" applyBorder="1" applyAlignment="1">
      <alignment horizontal="center"/>
    </xf>
    <xf numFmtId="9" fontId="23" fillId="0" borderId="25" xfId="0" applyNumberFormat="1" applyFont="1" applyBorder="1" applyAlignment="1">
      <alignment horizontal="center" vertical="center" wrapText="1"/>
    </xf>
    <xf numFmtId="6" fontId="0" fillId="0" borderId="26" xfId="0" applyNumberFormat="1" applyBorder="1" applyAlignment="1">
      <alignment horizontal="center"/>
    </xf>
    <xf numFmtId="9" fontId="23" fillId="0" borderId="27" xfId="0" applyNumberFormat="1" applyFont="1" applyBorder="1" applyAlignment="1">
      <alignment horizontal="center" vertical="center" wrapText="1"/>
    </xf>
    <xf numFmtId="9" fontId="23" fillId="0" borderId="29" xfId="0" applyNumberFormat="1" applyFont="1" applyBorder="1" applyAlignment="1">
      <alignment horizontal="center" vertical="center" wrapText="1"/>
    </xf>
    <xf numFmtId="0" fontId="22"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xf>
    <xf numFmtId="0" fontId="4" fillId="0" borderId="31" xfId="0" applyFont="1" applyBorder="1" applyAlignment="1">
      <alignment horizontal="center"/>
    </xf>
    <xf numFmtId="0" fontId="4" fillId="0" borderId="33" xfId="0" applyFont="1" applyBorder="1" applyAlignment="1">
      <alignment horizontal="center"/>
    </xf>
    <xf numFmtId="0" fontId="4" fillId="0" borderId="31" xfId="0" applyFont="1" applyBorder="1" applyAlignment="1">
      <alignment horizontal="center" wrapText="1"/>
    </xf>
    <xf numFmtId="0" fontId="4" fillId="0" borderId="32" xfId="0" applyFont="1" applyBorder="1" applyAlignment="1">
      <alignment horizontal="center" wrapText="1"/>
    </xf>
    <xf numFmtId="0" fontId="4" fillId="0" borderId="33" xfId="0" applyFont="1" applyBorder="1" applyAlignment="1">
      <alignment horizontal="center" wrapText="1"/>
    </xf>
    <xf numFmtId="0" fontId="0" fillId="0" borderId="27" xfId="0" applyBorder="1" applyAlignment="1" applyProtection="1">
      <alignment horizontal="center" wrapText="1"/>
      <protection locked="0"/>
    </xf>
    <xf numFmtId="0" fontId="0" fillId="0" borderId="28" xfId="0" applyBorder="1" applyAlignment="1" applyProtection="1">
      <alignment horizontal="center" wrapText="1"/>
      <protection locked="0"/>
    </xf>
    <xf numFmtId="0" fontId="0" fillId="0" borderId="29" xfId="0" applyBorder="1" applyAlignment="1" applyProtection="1">
      <alignment horizontal="center" wrapText="1"/>
      <protection locked="0"/>
    </xf>
    <xf numFmtId="0" fontId="10" fillId="0" borderId="10" xfId="0" applyFont="1" applyBorder="1" applyAlignment="1">
      <alignment horizontal="center"/>
    </xf>
    <xf numFmtId="0" fontId="12" fillId="5" borderId="13" xfId="0" applyFont="1" applyFill="1" applyBorder="1" applyAlignment="1">
      <alignment horizontal="center" wrapText="1"/>
    </xf>
    <xf numFmtId="0" fontId="12" fillId="5" borderId="14" xfId="0" applyFont="1" applyFill="1" applyBorder="1" applyAlignment="1">
      <alignment horizontal="center" wrapText="1"/>
    </xf>
    <xf numFmtId="0" fontId="9" fillId="0" borderId="16" xfId="0" applyFont="1" applyBorder="1" applyAlignment="1">
      <alignment horizontal="center"/>
    </xf>
    <xf numFmtId="0" fontId="9" fillId="0" borderId="12" xfId="0" applyFont="1" applyBorder="1" applyAlignment="1">
      <alignment horizontal="center"/>
    </xf>
    <xf numFmtId="0" fontId="9" fillId="0" borderId="17" xfId="0" applyFont="1" applyBorder="1" applyAlignment="1">
      <alignment horizontal="center"/>
    </xf>
    <xf numFmtId="0" fontId="8" fillId="0" borderId="0" xfId="0" applyFont="1" applyAlignment="1">
      <alignment horizontal="left" vertical="center" wrapText="1"/>
    </xf>
    <xf numFmtId="0" fontId="3" fillId="2" borderId="6" xfId="5" applyBorder="1" applyAlignment="1">
      <alignment horizontal="center"/>
    </xf>
    <xf numFmtId="0" fontId="3" fillId="2" borderId="8" xfId="5" applyBorder="1" applyAlignment="1">
      <alignment horizontal="center"/>
    </xf>
    <xf numFmtId="0" fontId="2" fillId="0" borderId="1" xfId="4"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4" fillId="0" borderId="0" xfId="0" applyFont="1" applyAlignment="1">
      <alignment horizontal="center"/>
    </xf>
    <xf numFmtId="0" fontId="2" fillId="0" borderId="0" xfId="4" applyBorder="1" applyAlignment="1">
      <alignment horizontal="center"/>
    </xf>
    <xf numFmtId="0" fontId="0" fillId="8" borderId="11" xfId="0" applyFill="1" applyBorder="1" applyAlignment="1">
      <alignment horizontal="center"/>
    </xf>
    <xf numFmtId="0" fontId="0" fillId="8" borderId="21" xfId="0"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5"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4" fillId="0" borderId="24" xfId="0" applyFont="1" applyBorder="1" applyAlignment="1">
      <alignment horizontal="center"/>
    </xf>
    <xf numFmtId="0" fontId="16" fillId="0" borderId="10" xfId="0" applyFont="1" applyBorder="1" applyAlignment="1">
      <alignment horizontal="center" vertical="center"/>
    </xf>
    <xf numFmtId="0" fontId="0" fillId="0" borderId="21" xfId="0" applyBorder="1" applyAlignment="1">
      <alignment horizontal="center"/>
    </xf>
    <xf numFmtId="0" fontId="0" fillId="0" borderId="10" xfId="0" applyBorder="1" applyAlignment="1">
      <alignment horizontal="center"/>
    </xf>
    <xf numFmtId="0" fontId="0" fillId="0" borderId="18" xfId="0" applyBorder="1" applyAlignment="1">
      <alignment horizontal="center"/>
    </xf>
    <xf numFmtId="0" fontId="0" fillId="0" borderId="11" xfId="0" applyBorder="1" applyAlignment="1">
      <alignment horizontal="center"/>
    </xf>
  </cellXfs>
  <cellStyles count="8">
    <cellStyle name="Comma" xfId="1" builtinId="3"/>
    <cellStyle name="Currency" xfId="2" builtinId="4"/>
    <cellStyle name="Heading 1" xfId="4" builtinId="16"/>
    <cellStyle name="Hyperlink" xfId="7" builtinId="8"/>
    <cellStyle name="Neutral" xfId="5" builtinId="28"/>
    <cellStyle name="Normal" xfId="0" builtinId="0"/>
    <cellStyle name="Percent" xfId="3" builtinId="5"/>
    <cellStyle name="Total" xfId="6"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66675</xdr:colOff>
      <xdr:row>4</xdr:row>
      <xdr:rowOff>38100</xdr:rowOff>
    </xdr:from>
    <xdr:to>
      <xdr:col>17</xdr:col>
      <xdr:colOff>513167</xdr:colOff>
      <xdr:row>22</xdr:row>
      <xdr:rowOff>47625</xdr:rowOff>
    </xdr:to>
    <xdr:pic>
      <xdr:nvPicPr>
        <xdr:cNvPr id="3" name="Picture 2">
          <a:extLst>
            <a:ext uri="{FF2B5EF4-FFF2-40B4-BE49-F238E27FC236}">
              <a16:creationId xmlns:a16="http://schemas.microsoft.com/office/drawing/2014/main" id="{97CB5158-B02B-9E95-2BF2-045A6660AC17}"/>
            </a:ext>
          </a:extLst>
        </xdr:cNvPr>
        <xdr:cNvPicPr>
          <a:picLocks noChangeAspect="1"/>
        </xdr:cNvPicPr>
      </xdr:nvPicPr>
      <xdr:blipFill>
        <a:blip xmlns:r="http://schemas.openxmlformats.org/officeDocument/2006/relationships" r:embed="rId1"/>
        <a:stretch>
          <a:fillRect/>
        </a:stretch>
      </xdr:blipFill>
      <xdr:spPr>
        <a:xfrm>
          <a:off x="8486775" y="1000125"/>
          <a:ext cx="5323292" cy="361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507628</xdr:colOff>
      <xdr:row>9</xdr:row>
      <xdr:rowOff>122144</xdr:rowOff>
    </xdr:from>
    <xdr:ext cx="884488" cy="600775"/>
    <xdr:pic>
      <xdr:nvPicPr>
        <xdr:cNvPr id="2" name="Picture 1" descr="Map&#10;&#10;Description automatically generated">
          <a:extLst>
            <a:ext uri="{FF2B5EF4-FFF2-40B4-BE49-F238E27FC236}">
              <a16:creationId xmlns:a16="http://schemas.microsoft.com/office/drawing/2014/main" id="{392A67AF-5767-4343-9A42-D8D02361C7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19462378" y="2065244"/>
          <a:ext cx="884488" cy="6007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tes/EPS/WORKING%20EPS%20Residential%20Care%20Program%20%20Rate%20Mode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Rates\BRS\rate%20model\Residential%20Care%20Program%205.1.xlsx" TargetMode="External"/><Relationship Id="rId1" Type="http://schemas.openxmlformats.org/officeDocument/2006/relationships/externalLinkPath" Target="/Rates/BRS/rate%20model/Residential%20Care%20Program%205.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ellytd\AppData\Local\Microsoft\Windows\INetCache\Content.Outlook\5EGBJKHN\EPS%20Residential%20Care%20Program%20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tateofwa-my.sharepoint.com/ALLOTMENT/Forecasting%20and%20Financial%20Modeling/Charles%20Wang/Rate%20Setting/ATLP/Final%20Transitional%20living%20cost%20model%20-%20Finance_5.24.23_cw_t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delinsider.ssv.wa.lcl/Users/john.rich/Downloads/Import%20Template%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Budget%20Files%2023-25\23-25%20Operating%20DPs\307%202023-25%20PL%20Backup%20to%20OFM%20and%20Leg\PL-DS%20D.S.%20Compliance%20Copy%20of%20B23-25%20DP%20Data%20DS%20010%20C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P&amp;L"/>
      <sheetName val="Direct Care Schedule"/>
      <sheetName val="Rental Costs"/>
      <sheetName val="Cost of Living"/>
      <sheetName val="reference"/>
      <sheetName val="compare overhead"/>
      <sheetName val="broader consideration"/>
      <sheetName val="Usage"/>
      <sheetName val="overlap"/>
      <sheetName val="youth service lookup"/>
      <sheetName val="EPS client info"/>
      <sheetName val="Sheet4"/>
      <sheetName val="EPS service data"/>
    </sheetNames>
    <sheetDataSet>
      <sheetData sheetId="0">
        <row r="10">
          <cell r="B10">
            <v>12734.168928602126</v>
          </cell>
        </row>
        <row r="21">
          <cell r="C21">
            <v>8.6999999999999993</v>
          </cell>
          <cell r="D21">
            <v>134.42307692307693</v>
          </cell>
        </row>
        <row r="22">
          <cell r="C22">
            <v>58</v>
          </cell>
          <cell r="D22">
            <v>36</v>
          </cell>
        </row>
        <row r="23">
          <cell r="B23">
            <v>30</v>
          </cell>
          <cell r="C23">
            <v>173.3</v>
          </cell>
          <cell r="D23">
            <v>30</v>
          </cell>
        </row>
        <row r="24">
          <cell r="B24">
            <v>25</v>
          </cell>
          <cell r="C24">
            <v>615.29999999999995</v>
          </cell>
          <cell r="D24">
            <v>25</v>
          </cell>
        </row>
        <row r="25">
          <cell r="B25">
            <v>25</v>
          </cell>
          <cell r="C25">
            <v>667.3</v>
          </cell>
          <cell r="D25">
            <v>25</v>
          </cell>
        </row>
        <row r="26">
          <cell r="B26">
            <v>25</v>
          </cell>
          <cell r="C26">
            <v>158</v>
          </cell>
          <cell r="D26">
            <v>25</v>
          </cell>
        </row>
        <row r="27">
          <cell r="C27">
            <v>86.7</v>
          </cell>
          <cell r="D27">
            <v>22.692307692307693</v>
          </cell>
        </row>
        <row r="34">
          <cell r="B34">
            <v>0.2</v>
          </cell>
        </row>
        <row r="35">
          <cell r="B35">
            <v>0.24</v>
          </cell>
        </row>
        <row r="36">
          <cell r="B36">
            <v>1.4999999999999999E-2</v>
          </cell>
        </row>
        <row r="40">
          <cell r="B40">
            <v>400</v>
          </cell>
        </row>
        <row r="41">
          <cell r="B41">
            <v>500</v>
          </cell>
        </row>
        <row r="42">
          <cell r="B42">
            <v>726.15384615384619</v>
          </cell>
          <cell r="C42">
            <v>8713.8461538461543</v>
          </cell>
        </row>
        <row r="43">
          <cell r="B43">
            <v>500</v>
          </cell>
          <cell r="C43">
            <v>6000</v>
          </cell>
        </row>
        <row r="44">
          <cell r="B44">
            <v>75</v>
          </cell>
        </row>
        <row r="45">
          <cell r="B45">
            <v>300</v>
          </cell>
        </row>
        <row r="46">
          <cell r="B46">
            <v>720</v>
          </cell>
        </row>
        <row r="47">
          <cell r="B47">
            <v>300</v>
          </cell>
          <cell r="C47">
            <v>3600</v>
          </cell>
        </row>
        <row r="48">
          <cell r="B48">
            <v>120</v>
          </cell>
          <cell r="C48">
            <v>1440</v>
          </cell>
        </row>
        <row r="49">
          <cell r="B49">
            <v>1800</v>
          </cell>
          <cell r="C49">
            <v>21600</v>
          </cell>
        </row>
        <row r="51">
          <cell r="B51">
            <v>150</v>
          </cell>
          <cell r="C51">
            <v>1800</v>
          </cell>
        </row>
        <row r="52">
          <cell r="B52">
            <v>1002</v>
          </cell>
        </row>
        <row r="59">
          <cell r="B59">
            <v>3390</v>
          </cell>
        </row>
      </sheetData>
      <sheetData sheetId="1">
        <row r="4">
          <cell r="B4">
            <v>76405.013571612755</v>
          </cell>
          <cell r="C4">
            <v>916860.162859353</v>
          </cell>
        </row>
        <row r="8">
          <cell r="C8">
            <v>4800</v>
          </cell>
        </row>
        <row r="9">
          <cell r="C9">
            <v>6000</v>
          </cell>
        </row>
        <row r="12">
          <cell r="C12">
            <v>900</v>
          </cell>
        </row>
        <row r="13">
          <cell r="C13">
            <v>3600</v>
          </cell>
        </row>
        <row r="14">
          <cell r="C14">
            <v>8640</v>
          </cell>
        </row>
        <row r="15">
          <cell r="C15">
            <v>12024</v>
          </cell>
        </row>
        <row r="19">
          <cell r="B19">
            <v>3390</v>
          </cell>
        </row>
        <row r="20">
          <cell r="B20">
            <v>520</v>
          </cell>
        </row>
        <row r="34">
          <cell r="B34">
            <v>1169.4807692307693</v>
          </cell>
        </row>
        <row r="44">
          <cell r="B44">
            <v>46438.903846153844</v>
          </cell>
          <cell r="C44">
            <v>557266.84615384613</v>
          </cell>
        </row>
      </sheetData>
      <sheetData sheetId="2"/>
      <sheetData sheetId="3"/>
      <sheetData sheetId="4">
        <row r="3">
          <cell r="C3" t="str">
            <v>Occupation</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RTP Assumptions"/>
      <sheetName val="P&amp;L"/>
      <sheetName val="Direct Care Schedule"/>
      <sheetName val="Rental Costs"/>
      <sheetName val="Regional Wage Cost"/>
      <sheetName val="Capacity "/>
      <sheetName val="Sheet3"/>
      <sheetName val="utlization data"/>
    </sheetNames>
    <sheetDataSet>
      <sheetData sheetId="0">
        <row r="4">
          <cell r="B4">
            <v>6</v>
          </cell>
        </row>
      </sheetData>
      <sheetData sheetId="1">
        <row r="5">
          <cell r="B5">
            <v>101171.45999999999</v>
          </cell>
        </row>
        <row r="36">
          <cell r="B36">
            <v>3293.083333333333</v>
          </cell>
        </row>
        <row r="37">
          <cell r="B37">
            <v>5752.0320000000002</v>
          </cell>
        </row>
      </sheetData>
      <sheetData sheetId="2">
        <row r="38">
          <cell r="C38">
            <v>502.66666666666663</v>
          </cell>
        </row>
      </sheetData>
      <sheetData sheetId="3">
        <row r="2">
          <cell r="B2" t="str">
            <v>Snohomish</v>
          </cell>
        </row>
      </sheetData>
      <sheetData sheetId="4">
        <row r="7">
          <cell r="A7" t="str">
            <v>Snohomish</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P&amp;L"/>
      <sheetName val="Cost of Living"/>
      <sheetName val="Rental Costs"/>
      <sheetName val="Direct Care Schedule"/>
    </sheetNames>
    <sheetDataSet>
      <sheetData sheetId="0">
        <row r="4">
          <cell r="B4">
            <v>6</v>
          </cell>
        </row>
      </sheetData>
      <sheetData sheetId="1">
        <row r="4">
          <cell r="B4">
            <v>63000</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PT Rate Model"/>
      <sheetName val="Program Costs"/>
      <sheetName val="Direct Care Schedule"/>
      <sheetName val="DCYF Modeled 2 FTE"/>
      <sheetName val="startup"/>
      <sheetName val="DCYF Modeled - Float"/>
      <sheetName val="Service Continuum Comparison"/>
      <sheetName val="Utilization example"/>
    </sheetNames>
    <sheetDataSet>
      <sheetData sheetId="0">
        <row r="4">
          <cell r="B4">
            <v>6</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alidation"/>
      <sheetName val="ImportData"/>
      <sheetName val="Parameters"/>
    </sheetNames>
    <sheetDataSet>
      <sheetData sheetId="0"/>
      <sheetData sheetId="1">
        <row r="2">
          <cell r="A2" t="str">
            <v>ML</v>
          </cell>
          <cell r="B2" t="str">
            <v>Fund</v>
          </cell>
          <cell r="C2" t="str">
            <v>FD</v>
          </cell>
        </row>
        <row r="3">
          <cell r="A3" t="str">
            <v>PL</v>
          </cell>
          <cell r="B3" t="str">
            <v>Fund Activity</v>
          </cell>
        </row>
        <row r="4">
          <cell r="B4" t="str">
            <v>FTE</v>
          </cell>
        </row>
        <row r="5">
          <cell r="B5" t="str">
            <v>FTE Activity</v>
          </cell>
        </row>
        <row r="6">
          <cell r="B6" t="str">
            <v>Object</v>
          </cell>
        </row>
        <row r="7">
          <cell r="B7" t="str">
            <v>Revenue</v>
          </cell>
        </row>
      </sheetData>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up_Setup"/>
      <sheetName val="FTE, sal, ben"/>
      <sheetName val="prof svc cont"/>
      <sheetName val="goods and svcs"/>
      <sheetName val="travel"/>
      <sheetName val="equipment"/>
      <sheetName val="client svcs cont"/>
      <sheetName val="other&amp;indirect"/>
      <sheetName val="interagency agree"/>
      <sheetName val="Overview"/>
      <sheetName val="Cost Model"/>
      <sheetName val="ATLP Model- Mix"/>
      <sheetName val="BRS Facility"/>
      <sheetName val="Rental Costs"/>
      <sheetName val="Summary"/>
      <sheetName val="PFP - model"/>
      <sheetName val="King County ref"/>
      <sheetName val="Data"/>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6">
          <cell r="C16">
            <v>0.75</v>
          </cell>
        </row>
      </sheetData>
      <sheetData sheetId="12"/>
      <sheetData sheetId="13">
        <row r="3">
          <cell r="P3">
            <v>-2102</v>
          </cell>
        </row>
      </sheetData>
      <sheetData sheetId="14"/>
      <sheetData sheetId="15"/>
      <sheetData sheetId="16"/>
      <sheetData sheetId="17">
        <row r="84">
          <cell r="B84" t="str">
            <v>001-General Fund - Fed Grnt</v>
          </cell>
        </row>
        <row r="85">
          <cell r="B85" t="str">
            <v>001-1 General Fund - State</v>
          </cell>
        </row>
        <row r="86">
          <cell r="B86" t="str">
            <v>001-2 General Fund - Federal</v>
          </cell>
        </row>
        <row r="87">
          <cell r="B87" t="str">
            <v>001-7 General Fund - Private/Local</v>
          </cell>
        </row>
        <row r="88">
          <cell r="B88" t="str">
            <v>001-A General Fund - Fam Supt (IV-E)</v>
          </cell>
        </row>
        <row r="89">
          <cell r="B89" t="str">
            <v>001-C General Fund - Medicaid (T-19)</v>
          </cell>
        </row>
        <row r="90">
          <cell r="B90" t="str">
            <v>001-H General Fund - ARPA</v>
          </cell>
        </row>
        <row r="91">
          <cell r="B91" t="str">
            <v>001-Z General Fund - CRRSA</v>
          </cell>
        </row>
        <row r="92">
          <cell r="B92" t="str">
            <v>08A-1 Education Legacy Trust Acct - State</v>
          </cell>
        </row>
        <row r="93">
          <cell r="B93" t="str">
            <v>133-6 Children's Trust</v>
          </cell>
        </row>
        <row r="94">
          <cell r="B94" t="str">
            <v>17B-1 HVSA - State</v>
          </cell>
        </row>
        <row r="95">
          <cell r="B95" t="str">
            <v>17B-2 HVSA - Fed</v>
          </cell>
        </row>
        <row r="96">
          <cell r="B96" t="str">
            <v>17F-1 WA Opportunity Pathways Acct - State</v>
          </cell>
        </row>
        <row r="97">
          <cell r="B97" t="str">
            <v>17M-6 Port Background Check</v>
          </cell>
        </row>
        <row r="98">
          <cell r="B98" t="str">
            <v>20L-1 Early Start</v>
          </cell>
        </row>
        <row r="99">
          <cell r="B99" t="str">
            <v>24J-1 Workforce Education Investment Acct - State</v>
          </cell>
        </row>
        <row r="100">
          <cell r="B100" t="str">
            <v>NewCR</v>
          </cell>
        </row>
        <row r="101">
          <cell r="B101" t="str">
            <v>NewExp</v>
          </cell>
        </row>
      </sheetData>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fm.wa.gov/accounting/administrative-accounting-resources/travel/diem-rate-tables" TargetMode="External"/><Relationship Id="rId1" Type="http://schemas.openxmlformats.org/officeDocument/2006/relationships/hyperlink" Target="https://www.wtb.wa.gov/planning-programs/regional-workforce-plans/"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2E2AE-E739-460B-870B-A50B1F808DD2}">
  <dimension ref="A1:F25"/>
  <sheetViews>
    <sheetView tabSelected="1" workbookViewId="0">
      <selection activeCell="F18" sqref="F18"/>
    </sheetView>
  </sheetViews>
  <sheetFormatPr defaultRowHeight="15" x14ac:dyDescent="0.25"/>
  <cols>
    <col min="2" max="2" width="32.7109375" customWidth="1"/>
    <col min="3" max="3" width="17.7109375" customWidth="1"/>
    <col min="4" max="4" width="10.85546875" customWidth="1"/>
    <col min="5" max="6" width="9.85546875" bestFit="1" customWidth="1"/>
  </cols>
  <sheetData>
    <row r="1" spans="1:6" x14ac:dyDescent="0.25">
      <c r="A1" s="197" t="s">
        <v>106</v>
      </c>
      <c r="B1" s="197"/>
      <c r="C1" s="197"/>
      <c r="D1" s="197"/>
      <c r="E1" s="197"/>
      <c r="F1" s="197"/>
    </row>
    <row r="2" spans="1:6" ht="18.75" x14ac:dyDescent="0.25">
      <c r="A2" s="198" t="s">
        <v>107</v>
      </c>
      <c r="B2" s="198"/>
      <c r="C2" s="198"/>
      <c r="D2" s="198"/>
      <c r="E2" s="198"/>
      <c r="F2" s="198"/>
    </row>
    <row r="3" spans="1:6" x14ac:dyDescent="0.25">
      <c r="A3" s="199" t="s">
        <v>108</v>
      </c>
      <c r="B3" s="199"/>
      <c r="C3" s="199"/>
      <c r="D3" s="199"/>
      <c r="E3" s="199"/>
      <c r="F3" s="199"/>
    </row>
    <row r="5" spans="1:6" ht="15.75" thickBot="1" x14ac:dyDescent="0.3"/>
    <row r="6" spans="1:6" x14ac:dyDescent="0.25">
      <c r="B6" s="200" t="s">
        <v>140</v>
      </c>
      <c r="C6" s="201"/>
    </row>
    <row r="7" spans="1:6" x14ac:dyDescent="0.25">
      <c r="B7" s="112"/>
      <c r="C7" s="190"/>
    </row>
    <row r="8" spans="1:6" x14ac:dyDescent="0.25">
      <c r="B8" s="112" t="s">
        <v>135</v>
      </c>
      <c r="C8" s="191">
        <f>ROUND(Summary!C21*Summary!C23,0)</f>
        <v>8048</v>
      </c>
    </row>
    <row r="9" spans="1:6" ht="15.75" thickBot="1" x14ac:dyDescent="0.3">
      <c r="B9" s="114" t="s">
        <v>139</v>
      </c>
      <c r="C9" s="192">
        <f>C23/30.42</f>
        <v>176.39710716633792</v>
      </c>
    </row>
    <row r="12" spans="1:6" ht="30" x14ac:dyDescent="0.25">
      <c r="B12" s="172" t="s">
        <v>109</v>
      </c>
      <c r="C12" s="173">
        <v>48.59</v>
      </c>
    </row>
    <row r="18" spans="2:5" ht="15.75" thickBot="1" x14ac:dyDescent="0.3"/>
    <row r="19" spans="2:5" x14ac:dyDescent="0.25">
      <c r="B19" s="200" t="s">
        <v>141</v>
      </c>
      <c r="C19" s="201"/>
    </row>
    <row r="20" spans="2:5" x14ac:dyDescent="0.25">
      <c r="B20" s="112"/>
      <c r="C20" s="113"/>
    </row>
    <row r="21" spans="2:5" x14ac:dyDescent="0.25">
      <c r="B21" s="193" t="s">
        <v>142</v>
      </c>
      <c r="C21" s="194">
        <f>Summary!C21/30.42</f>
        <v>440.9294383053703</v>
      </c>
      <c r="D21" s="175"/>
      <c r="E21" s="175"/>
    </row>
    <row r="22" spans="2:5" ht="15.75" thickBot="1" x14ac:dyDescent="0.3">
      <c r="B22" s="195"/>
      <c r="C22" s="196"/>
      <c r="D22" s="175"/>
      <c r="E22" s="175"/>
    </row>
    <row r="23" spans="2:5" hidden="1" x14ac:dyDescent="0.25">
      <c r="B23" t="s">
        <v>136</v>
      </c>
      <c r="C23" s="174">
        <f>ROUND(Summary!C21*Summary!C22,0)</f>
        <v>5366</v>
      </c>
      <c r="D23" s="175"/>
      <c r="E23" s="175"/>
    </row>
    <row r="24" spans="2:5" x14ac:dyDescent="0.25">
      <c r="B24" s="175"/>
      <c r="C24" s="175"/>
      <c r="D24" s="175"/>
      <c r="E24" s="175"/>
    </row>
    <row r="25" spans="2:5" x14ac:dyDescent="0.25">
      <c r="B25" s="175"/>
      <c r="C25" s="175"/>
      <c r="D25" s="175"/>
      <c r="E25" s="175"/>
    </row>
  </sheetData>
  <mergeCells count="5">
    <mergeCell ref="A1:F1"/>
    <mergeCell ref="A2:F2"/>
    <mergeCell ref="A3:F3"/>
    <mergeCell ref="B6:C6"/>
    <mergeCell ref="B19:C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2348F-C66E-4871-B325-B106ACA3C302}">
  <dimension ref="B2:G24"/>
  <sheetViews>
    <sheetView workbookViewId="0">
      <selection activeCell="D10" sqref="D10"/>
    </sheetView>
  </sheetViews>
  <sheetFormatPr defaultRowHeight="15" x14ac:dyDescent="0.25"/>
  <cols>
    <col min="2" max="2" width="22.42578125" customWidth="1"/>
    <col min="3" max="3" width="16.85546875" customWidth="1"/>
    <col min="4" max="4" width="18.42578125" customWidth="1"/>
    <col min="5" max="5" width="10.85546875" customWidth="1"/>
    <col min="6" max="6" width="11.7109375" customWidth="1"/>
    <col min="7" max="7" width="18.5703125" customWidth="1"/>
  </cols>
  <sheetData>
    <row r="2" spans="2:7" ht="15.75" thickBot="1" x14ac:dyDescent="0.3"/>
    <row r="3" spans="2:7" ht="30" customHeight="1" x14ac:dyDescent="0.25">
      <c r="B3" s="202" t="s">
        <v>111</v>
      </c>
      <c r="C3" s="203"/>
      <c r="D3" s="203"/>
      <c r="E3" s="203"/>
      <c r="F3" s="203"/>
      <c r="G3" s="204"/>
    </row>
    <row r="4" spans="2:7" x14ac:dyDescent="0.25">
      <c r="B4" s="112"/>
      <c r="G4" s="113"/>
    </row>
    <row r="5" spans="2:7" x14ac:dyDescent="0.25">
      <c r="B5" s="112"/>
      <c r="C5" s="19"/>
      <c r="G5" s="113"/>
    </row>
    <row r="6" spans="2:7" ht="14.25" customHeight="1" x14ac:dyDescent="0.25">
      <c r="B6" s="112"/>
      <c r="C6" s="182">
        <f>'EPS Cost Assumptions'!B19</f>
        <v>4200</v>
      </c>
      <c r="G6" s="113"/>
    </row>
    <row r="7" spans="2:7" ht="30" x14ac:dyDescent="0.25">
      <c r="B7" s="177" t="s">
        <v>112</v>
      </c>
      <c r="C7" s="183" t="s">
        <v>128</v>
      </c>
      <c r="D7" s="19" t="s">
        <v>127</v>
      </c>
      <c r="E7" s="183" t="s">
        <v>131</v>
      </c>
      <c r="F7" s="183" t="s">
        <v>132</v>
      </c>
      <c r="G7" s="187" t="s">
        <v>138</v>
      </c>
    </row>
    <row r="8" spans="2:7" x14ac:dyDescent="0.25">
      <c r="B8" s="112"/>
      <c r="C8" s="184"/>
      <c r="G8" s="188"/>
    </row>
    <row r="9" spans="2:7" x14ac:dyDescent="0.25">
      <c r="B9" s="178"/>
      <c r="C9" s="185"/>
      <c r="D9" s="185"/>
      <c r="E9" s="185"/>
      <c r="F9" s="185"/>
      <c r="G9" s="188"/>
    </row>
    <row r="10" spans="2:7" x14ac:dyDescent="0.25">
      <c r="B10" s="179" t="s">
        <v>115</v>
      </c>
      <c r="C10" s="186">
        <v>23.876999999999999</v>
      </c>
      <c r="D10" s="174">
        <f>C10*'EPS Cost Assumptions'!$B$16</f>
        <v>2865.24</v>
      </c>
      <c r="E10" s="174">
        <f>C10*'EPS Cost Assumptions'!$B$17</f>
        <v>2101.1759999999999</v>
      </c>
      <c r="F10" s="26">
        <f>C6</f>
        <v>4200</v>
      </c>
      <c r="G10" s="189">
        <f>C10*2080+D10+E10</f>
        <v>54630.575999999994</v>
      </c>
    </row>
    <row r="11" spans="2:7" x14ac:dyDescent="0.25">
      <c r="B11" s="179" t="s">
        <v>116</v>
      </c>
      <c r="C11" s="186">
        <v>23.677500000000002</v>
      </c>
      <c r="D11" s="174">
        <f>C11*'EPS Cost Assumptions'!$B$16</f>
        <v>2841.3</v>
      </c>
      <c r="E11" s="174">
        <f>C11*'EPS Cost Assumptions'!$B$17</f>
        <v>2083.6200000000003</v>
      </c>
      <c r="F11" s="26">
        <f>F10</f>
        <v>4200</v>
      </c>
      <c r="G11" s="189">
        <f t="shared" ref="G11:G22" si="0">C11*2080+D11+E11</f>
        <v>54174.12000000001</v>
      </c>
    </row>
    <row r="12" spans="2:7" x14ac:dyDescent="0.25">
      <c r="B12" s="179" t="s">
        <v>117</v>
      </c>
      <c r="C12" s="186">
        <v>24.024000000000001</v>
      </c>
      <c r="D12" s="174">
        <f>C12*'EPS Cost Assumptions'!$B$16</f>
        <v>2882.88</v>
      </c>
      <c r="E12" s="174">
        <f>C12*'EPS Cost Assumptions'!$B$17</f>
        <v>2114.1120000000001</v>
      </c>
      <c r="F12" s="26">
        <f t="shared" ref="F12:F22" si="1">F11</f>
        <v>4200</v>
      </c>
      <c r="G12" s="189">
        <f t="shared" si="0"/>
        <v>54966.911999999997</v>
      </c>
    </row>
    <row r="13" spans="2:7" x14ac:dyDescent="0.25">
      <c r="B13" s="179" t="s">
        <v>118</v>
      </c>
      <c r="C13" s="186">
        <v>24.181500000000003</v>
      </c>
      <c r="D13" s="174">
        <f>C13*'EPS Cost Assumptions'!$B$16</f>
        <v>2901.78</v>
      </c>
      <c r="E13" s="174">
        <f>C13*'EPS Cost Assumptions'!$B$17</f>
        <v>2127.9720000000002</v>
      </c>
      <c r="F13" s="26">
        <f t="shared" si="1"/>
        <v>4200</v>
      </c>
      <c r="G13" s="189">
        <f t="shared" si="0"/>
        <v>55327.272000000004</v>
      </c>
    </row>
    <row r="14" spans="2:7" x14ac:dyDescent="0.25">
      <c r="B14" s="179" t="s">
        <v>119</v>
      </c>
      <c r="C14" s="186">
        <v>26.554500000000001</v>
      </c>
      <c r="D14" s="174">
        <f>C14*'EPS Cost Assumptions'!$B$16</f>
        <v>3186.54</v>
      </c>
      <c r="E14" s="174">
        <f>C14*'EPS Cost Assumptions'!$B$17</f>
        <v>2336.7960000000003</v>
      </c>
      <c r="F14" s="26">
        <f t="shared" si="1"/>
        <v>4200</v>
      </c>
      <c r="G14" s="189">
        <f t="shared" si="0"/>
        <v>60756.696000000004</v>
      </c>
    </row>
    <row r="15" spans="2:7" x14ac:dyDescent="0.25">
      <c r="B15" s="179" t="s">
        <v>120</v>
      </c>
      <c r="C15" s="186">
        <v>23.677500000000002</v>
      </c>
      <c r="D15" s="174">
        <f>C15*'EPS Cost Assumptions'!$B$16</f>
        <v>2841.3</v>
      </c>
      <c r="E15" s="174">
        <f>C15*'EPS Cost Assumptions'!$B$17</f>
        <v>2083.6200000000003</v>
      </c>
      <c r="F15" s="26">
        <f t="shared" si="1"/>
        <v>4200</v>
      </c>
      <c r="G15" s="189">
        <f t="shared" si="0"/>
        <v>54174.12000000001</v>
      </c>
    </row>
    <row r="16" spans="2:7" x14ac:dyDescent="0.25">
      <c r="B16" s="179" t="s">
        <v>121</v>
      </c>
      <c r="C16" s="186">
        <v>25.494000000000003</v>
      </c>
      <c r="D16" s="174">
        <f>C16*'EPS Cost Assumptions'!$B$16</f>
        <v>3059.28</v>
      </c>
      <c r="E16" s="174">
        <f>C16*'EPS Cost Assumptions'!$B$17</f>
        <v>2243.4720000000002</v>
      </c>
      <c r="F16" s="26">
        <f t="shared" si="1"/>
        <v>4200</v>
      </c>
      <c r="G16" s="189">
        <f t="shared" si="0"/>
        <v>58330.272000000004</v>
      </c>
    </row>
    <row r="17" spans="2:7" x14ac:dyDescent="0.25">
      <c r="B17" s="179" t="s">
        <v>122</v>
      </c>
      <c r="C17" s="186">
        <v>23.677500000000002</v>
      </c>
      <c r="D17" s="174">
        <f>C17*'EPS Cost Assumptions'!$B$16</f>
        <v>2841.3</v>
      </c>
      <c r="E17" s="174">
        <f>C17*'EPS Cost Assumptions'!$B$17</f>
        <v>2083.6200000000003</v>
      </c>
      <c r="F17" s="26">
        <f t="shared" si="1"/>
        <v>4200</v>
      </c>
      <c r="G17" s="189">
        <f t="shared" si="0"/>
        <v>54174.12000000001</v>
      </c>
    </row>
    <row r="18" spans="2:7" x14ac:dyDescent="0.25">
      <c r="B18" s="179" t="s">
        <v>123</v>
      </c>
      <c r="C18" s="186">
        <v>23.016000000000002</v>
      </c>
      <c r="D18" s="174">
        <f>C18*'EPS Cost Assumptions'!$B$16</f>
        <v>2761.92</v>
      </c>
      <c r="E18" s="174">
        <f>C18*'EPS Cost Assumptions'!$B$17</f>
        <v>2025.4080000000001</v>
      </c>
      <c r="F18" s="26">
        <f t="shared" si="1"/>
        <v>4200</v>
      </c>
      <c r="G18" s="189">
        <f t="shared" si="0"/>
        <v>52660.608000000007</v>
      </c>
    </row>
    <row r="19" spans="2:7" x14ac:dyDescent="0.25">
      <c r="B19" s="179" t="s">
        <v>124</v>
      </c>
      <c r="C19" s="186">
        <v>22.816500000000001</v>
      </c>
      <c r="D19" s="174">
        <f>C19*'EPS Cost Assumptions'!$B$16</f>
        <v>2737.98</v>
      </c>
      <c r="E19" s="174">
        <f>C19*'EPS Cost Assumptions'!$B$17</f>
        <v>2007.8520000000001</v>
      </c>
      <c r="F19" s="26">
        <f t="shared" si="1"/>
        <v>4200</v>
      </c>
      <c r="G19" s="189">
        <f t="shared" si="0"/>
        <v>52204.152000000002</v>
      </c>
    </row>
    <row r="20" spans="2:7" x14ac:dyDescent="0.25">
      <c r="B20" s="179" t="s">
        <v>125</v>
      </c>
      <c r="C20" s="186">
        <v>23.121000000000002</v>
      </c>
      <c r="D20" s="174">
        <f>C20*'EPS Cost Assumptions'!$B$16</f>
        <v>2774.5200000000004</v>
      </c>
      <c r="E20" s="174">
        <f>C20*'EPS Cost Assumptions'!$B$17</f>
        <v>2034.6480000000001</v>
      </c>
      <c r="F20" s="26">
        <f t="shared" si="1"/>
        <v>4200</v>
      </c>
      <c r="G20" s="189">
        <f t="shared" si="0"/>
        <v>52900.848000000013</v>
      </c>
    </row>
    <row r="21" spans="2:7" x14ac:dyDescent="0.25">
      <c r="B21" s="179" t="s">
        <v>126</v>
      </c>
      <c r="C21" s="186">
        <v>24.129000000000001</v>
      </c>
      <c r="D21" s="174">
        <f>C21*'EPS Cost Assumptions'!$B$16</f>
        <v>2895.48</v>
      </c>
      <c r="E21" s="174">
        <f>C21*'EPS Cost Assumptions'!$B$17</f>
        <v>2123.3520000000003</v>
      </c>
      <c r="F21" s="26">
        <f t="shared" si="1"/>
        <v>4200</v>
      </c>
      <c r="G21" s="189">
        <f t="shared" si="0"/>
        <v>55207.152000000002</v>
      </c>
    </row>
    <row r="22" spans="2:7" x14ac:dyDescent="0.25">
      <c r="B22" s="179" t="s">
        <v>130</v>
      </c>
      <c r="C22" s="186">
        <v>26.397000000000002</v>
      </c>
      <c r="D22" s="174">
        <f>C22*'EPS Cost Assumptions'!$B$16</f>
        <v>3167.6400000000003</v>
      </c>
      <c r="E22" s="174">
        <f>C22*'EPS Cost Assumptions'!$B$17</f>
        <v>2322.9360000000001</v>
      </c>
      <c r="F22" s="26">
        <f t="shared" si="1"/>
        <v>4200</v>
      </c>
      <c r="G22" s="189">
        <f t="shared" si="0"/>
        <v>60396.336000000003</v>
      </c>
    </row>
    <row r="23" spans="2:7" x14ac:dyDescent="0.25">
      <c r="B23" s="112"/>
      <c r="G23" s="113"/>
    </row>
    <row r="24" spans="2:7" ht="37.5" customHeight="1" thickBot="1" x14ac:dyDescent="0.3">
      <c r="B24" s="205" t="s">
        <v>129</v>
      </c>
      <c r="C24" s="206"/>
      <c r="D24" s="206"/>
      <c r="E24" s="206"/>
      <c r="F24" s="206"/>
      <c r="G24" s="207"/>
    </row>
  </sheetData>
  <mergeCells count="2">
    <mergeCell ref="B3:G3"/>
    <mergeCell ref="B24:G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099A-D108-4D18-AD6C-761E210C2CC0}">
  <dimension ref="A1:AC65"/>
  <sheetViews>
    <sheetView topLeftCell="A9" zoomScaleNormal="100" workbookViewId="0">
      <selection activeCell="D33" sqref="D33"/>
    </sheetView>
  </sheetViews>
  <sheetFormatPr defaultRowHeight="15" x14ac:dyDescent="0.25"/>
  <cols>
    <col min="1" max="1" width="44.5703125" bestFit="1" customWidth="1"/>
    <col min="2" max="2" width="23.7109375" customWidth="1"/>
    <col min="3" max="3" width="19.85546875" customWidth="1"/>
    <col min="4" max="4" width="13.85546875" customWidth="1"/>
    <col min="5" max="5" width="52.140625" customWidth="1"/>
    <col min="6" max="6" width="28.85546875" customWidth="1"/>
    <col min="7" max="7" width="11.5703125" customWidth="1"/>
    <col min="8" max="8" width="10.5703125" customWidth="1"/>
    <col min="10" max="10" width="12" bestFit="1" customWidth="1"/>
    <col min="12" max="12" width="5" customWidth="1"/>
    <col min="15" max="15" width="7.28515625" customWidth="1"/>
  </cols>
  <sheetData>
    <row r="1" spans="1:29" ht="20.25" thickBot="1" x14ac:dyDescent="0.35">
      <c r="A1" s="217" t="s">
        <v>0</v>
      </c>
      <c r="B1" s="217"/>
      <c r="C1" s="217"/>
      <c r="D1" s="217"/>
      <c r="E1" s="217"/>
      <c r="F1" s="217"/>
      <c r="G1" s="217"/>
    </row>
    <row r="2" spans="1:29" ht="18.600000000000001" customHeight="1" thickTop="1" x14ac:dyDescent="0.3">
      <c r="A2" s="1"/>
      <c r="F2" s="2"/>
      <c r="G2" s="2"/>
    </row>
    <row r="3" spans="1:29" ht="18.600000000000001" customHeight="1" thickBot="1" x14ac:dyDescent="0.35">
      <c r="A3" s="1"/>
      <c r="F3" s="2"/>
      <c r="G3" s="2"/>
    </row>
    <row r="4" spans="1:29" ht="24.75" customHeight="1" thickBot="1" x14ac:dyDescent="0.3">
      <c r="A4" s="218" t="s">
        <v>1</v>
      </c>
      <c r="B4" s="218"/>
      <c r="C4" s="218"/>
      <c r="D4" s="218"/>
      <c r="E4" s="218"/>
      <c r="F4" s="218"/>
      <c r="G4" s="219"/>
      <c r="AC4">
        <v>3</v>
      </c>
    </row>
    <row r="5" spans="1:29" ht="14.45" customHeight="1" thickBot="1" x14ac:dyDescent="0.3">
      <c r="F5" s="3"/>
      <c r="G5" s="2"/>
      <c r="AC5">
        <v>6</v>
      </c>
    </row>
    <row r="6" spans="1:29" ht="14.45" customHeight="1" thickBot="1" x14ac:dyDescent="0.3">
      <c r="A6" s="4" t="s">
        <v>2</v>
      </c>
      <c r="B6" s="5">
        <v>6</v>
      </c>
      <c r="G6" s="2"/>
    </row>
    <row r="7" spans="1:29" ht="14.45" customHeight="1" thickBot="1" x14ac:dyDescent="0.3">
      <c r="A7" s="6"/>
      <c r="B7" s="6"/>
      <c r="G7" s="2"/>
    </row>
    <row r="8" spans="1:29" ht="14.45" customHeight="1" x14ac:dyDescent="0.25">
      <c r="A8" s="220" t="s">
        <v>3</v>
      </c>
      <c r="B8" s="221"/>
      <c r="C8" s="222"/>
      <c r="D8" s="7"/>
      <c r="G8" s="2"/>
      <c r="R8" s="8" t="s">
        <v>4</v>
      </c>
    </row>
    <row r="9" spans="1:29" ht="15" customHeight="1" x14ac:dyDescent="0.25">
      <c r="A9" s="9" t="s">
        <v>5</v>
      </c>
      <c r="B9" s="10" t="s">
        <v>6</v>
      </c>
      <c r="C9" s="10" t="s">
        <v>7</v>
      </c>
      <c r="D9" s="6"/>
      <c r="G9" s="2"/>
    </row>
    <row r="10" spans="1:29" ht="15" customHeight="1" x14ac:dyDescent="0.25">
      <c r="A10" s="11" t="s">
        <v>8</v>
      </c>
      <c r="B10" s="12">
        <v>0.2</v>
      </c>
      <c r="C10" s="12"/>
      <c r="D10" s="13"/>
      <c r="E10" s="14"/>
      <c r="F10" s="15"/>
      <c r="G10" s="2"/>
    </row>
    <row r="11" spans="1:29" ht="15" customHeight="1" x14ac:dyDescent="0.25">
      <c r="A11" s="11" t="s">
        <v>9</v>
      </c>
      <c r="B11" s="12">
        <v>0.17</v>
      </c>
      <c r="C11" s="12"/>
      <c r="G11" s="2"/>
    </row>
    <row r="12" spans="1:29" ht="15" customHeight="1" x14ac:dyDescent="0.25">
      <c r="A12" s="11" t="s">
        <v>10</v>
      </c>
      <c r="B12" s="16">
        <v>1.4999999999999999E-2</v>
      </c>
      <c r="C12" s="16"/>
      <c r="D12" s="17"/>
      <c r="E12" t="s">
        <v>11</v>
      </c>
      <c r="G12" s="2"/>
      <c r="R12" s="18" t="s">
        <v>12</v>
      </c>
    </row>
    <row r="13" spans="1:29" ht="15" customHeight="1" x14ac:dyDescent="0.25">
      <c r="G13" s="2"/>
    </row>
    <row r="14" spans="1:29" ht="15" customHeight="1" x14ac:dyDescent="0.25">
      <c r="A14" s="223" t="s">
        <v>13</v>
      </c>
      <c r="B14" s="223"/>
      <c r="C14" s="223"/>
      <c r="G14" s="2"/>
    </row>
    <row r="15" spans="1:29" ht="15" customHeight="1" x14ac:dyDescent="0.25">
      <c r="A15" s="9" t="s">
        <v>14</v>
      </c>
      <c r="B15" s="10" t="s">
        <v>15</v>
      </c>
      <c r="C15" s="20" t="s">
        <v>16</v>
      </c>
      <c r="G15" s="2"/>
    </row>
    <row r="16" spans="1:29" ht="15" customHeight="1" x14ac:dyDescent="0.25">
      <c r="A16" s="11" t="s">
        <v>17</v>
      </c>
      <c r="B16" s="21">
        <v>120</v>
      </c>
      <c r="C16" s="22">
        <f>B16/2080</f>
        <v>5.7692307692307696E-2</v>
      </c>
      <c r="G16" s="2"/>
    </row>
    <row r="17" spans="1:9" ht="15" customHeight="1" x14ac:dyDescent="0.25">
      <c r="A17" s="11" t="s">
        <v>18</v>
      </c>
      <c r="B17" s="21">
        <v>88</v>
      </c>
      <c r="C17" s="22">
        <f t="shared" ref="C17:C18" si="0">B17/2080</f>
        <v>4.230769230769231E-2</v>
      </c>
      <c r="G17" s="2"/>
    </row>
    <row r="18" spans="1:9" ht="15" customHeight="1" x14ac:dyDescent="0.25">
      <c r="A18" s="11" t="s">
        <v>19</v>
      </c>
      <c r="B18" s="21">
        <v>40</v>
      </c>
      <c r="C18" s="22">
        <f t="shared" si="0"/>
        <v>1.9230769230769232E-2</v>
      </c>
      <c r="G18" s="2"/>
    </row>
    <row r="19" spans="1:9" ht="15" customHeight="1" x14ac:dyDescent="0.25">
      <c r="A19" s="11" t="s">
        <v>20</v>
      </c>
      <c r="B19" s="23">
        <f>3300+900</f>
        <v>4200</v>
      </c>
      <c r="C19" s="24" t="s">
        <v>21</v>
      </c>
      <c r="G19" s="2"/>
    </row>
    <row r="20" spans="1:9" ht="15" customHeight="1" x14ac:dyDescent="0.25">
      <c r="A20" s="25" t="s">
        <v>22</v>
      </c>
      <c r="B20" s="26">
        <v>500</v>
      </c>
      <c r="C20" s="24" t="s">
        <v>21</v>
      </c>
      <c r="G20" s="2"/>
    </row>
    <row r="21" spans="1:9" ht="15" customHeight="1" x14ac:dyDescent="0.25">
      <c r="A21" s="223" t="s">
        <v>23</v>
      </c>
      <c r="B21" s="223"/>
      <c r="C21" s="223"/>
      <c r="G21" s="2"/>
    </row>
    <row r="22" spans="1:9" ht="15" customHeight="1" x14ac:dyDescent="0.25">
      <c r="A22" s="27" t="s">
        <v>24</v>
      </c>
      <c r="B22" s="10" t="s">
        <v>25</v>
      </c>
      <c r="C22" s="10" t="s">
        <v>7</v>
      </c>
      <c r="G22" s="2"/>
    </row>
    <row r="23" spans="1:9" ht="45" x14ac:dyDescent="0.25">
      <c r="A23" s="11" t="s">
        <v>26</v>
      </c>
      <c r="B23" s="28" t="s">
        <v>27</v>
      </c>
      <c r="C23" s="29" t="s">
        <v>28</v>
      </c>
      <c r="G23" s="2"/>
    </row>
    <row r="24" spans="1:9" ht="15" customHeight="1" x14ac:dyDescent="0.25">
      <c r="A24" s="11" t="s">
        <v>29</v>
      </c>
      <c r="B24" s="28" t="s">
        <v>27</v>
      </c>
      <c r="C24" s="29" t="s">
        <v>30</v>
      </c>
      <c r="G24" s="2"/>
    </row>
    <row r="25" spans="1:9" ht="15" customHeight="1" x14ac:dyDescent="0.25">
      <c r="A25" s="11" t="s">
        <v>31</v>
      </c>
      <c r="B25" s="11" t="s">
        <v>27</v>
      </c>
      <c r="C25" s="29" t="s">
        <v>32</v>
      </c>
      <c r="G25" s="2"/>
    </row>
    <row r="26" spans="1:9" ht="15" customHeight="1" x14ac:dyDescent="0.25">
      <c r="G26" s="2"/>
    </row>
    <row r="27" spans="1:9" ht="15.75" x14ac:dyDescent="0.25">
      <c r="A27" s="212" t="s">
        <v>33</v>
      </c>
      <c r="B27" s="212"/>
      <c r="C27" s="212"/>
      <c r="D27" s="212"/>
      <c r="E27" s="212"/>
      <c r="F27" s="212"/>
    </row>
    <row r="28" spans="1:9" x14ac:dyDescent="0.25">
      <c r="A28" s="27" t="s">
        <v>34</v>
      </c>
      <c r="B28" s="10" t="s">
        <v>35</v>
      </c>
      <c r="C28" s="10" t="s">
        <v>36</v>
      </c>
      <c r="D28" s="10" t="s">
        <v>37</v>
      </c>
      <c r="E28" s="208" t="s">
        <v>7</v>
      </c>
      <c r="F28" s="208"/>
    </row>
    <row r="29" spans="1:9" ht="36" customHeight="1" x14ac:dyDescent="0.25">
      <c r="A29" s="209" t="s">
        <v>38</v>
      </c>
      <c r="B29" s="210"/>
      <c r="C29" s="30" t="s">
        <v>104</v>
      </c>
      <c r="D29" s="31"/>
      <c r="E29" s="31"/>
      <c r="F29" s="32"/>
      <c r="G29" s="6"/>
      <c r="I29" s="6"/>
    </row>
    <row r="30" spans="1:9" x14ac:dyDescent="0.25">
      <c r="A30" s="33" t="s">
        <v>39</v>
      </c>
      <c r="B30" s="34">
        <f>ROUND((D30*(2088/12))+(SUM($B$16:$B$17)/12),1)</f>
        <v>26</v>
      </c>
      <c r="C30" s="35">
        <v>55.670192307692304</v>
      </c>
      <c r="D30" s="36">
        <v>0.05</v>
      </c>
      <c r="E30" s="11"/>
      <c r="F30" s="11"/>
    </row>
    <row r="31" spans="1:9" x14ac:dyDescent="0.25">
      <c r="A31" s="33" t="s">
        <v>40</v>
      </c>
      <c r="B31" s="34">
        <f>ROUND((D31*(2088/12))+(SUM($B$16:$B$17)/12),1)</f>
        <v>46.9</v>
      </c>
      <c r="C31" s="35">
        <v>46.391826923076927</v>
      </c>
      <c r="D31" s="36">
        <f>ROUND(1/6,2)</f>
        <v>0.17</v>
      </c>
      <c r="E31" s="11">
        <f>1/6</f>
        <v>0.16666666666666666</v>
      </c>
      <c r="F31" s="11" t="s">
        <v>41</v>
      </c>
    </row>
    <row r="32" spans="1:9" x14ac:dyDescent="0.25">
      <c r="A32" s="33" t="s">
        <v>42</v>
      </c>
      <c r="B32" s="34">
        <f>ROUND((D32*(2088/12))+(SUM($B$16:$B$17)/12),1)</f>
        <v>191.3</v>
      </c>
      <c r="C32" s="35">
        <v>31.676400000000001</v>
      </c>
      <c r="D32" s="36">
        <v>1</v>
      </c>
      <c r="E32" s="11"/>
      <c r="F32" s="11"/>
    </row>
    <row r="33" spans="1:21" x14ac:dyDescent="0.25">
      <c r="A33" s="33" t="s">
        <v>110</v>
      </c>
      <c r="B33" s="34">
        <f>ROUND('Directcare Schedule'!C41+'Directcare Schedule'!C39,1)</f>
        <v>1282.7</v>
      </c>
      <c r="C33" s="35">
        <v>26.397000000000002</v>
      </c>
      <c r="D33" s="36">
        <f t="shared" ref="D33:D35" si="1">ROUND(B33/(2080/12),1)</f>
        <v>7.4</v>
      </c>
      <c r="E33" s="11"/>
      <c r="F33" s="11"/>
    </row>
    <row r="34" spans="1:21" x14ac:dyDescent="0.25">
      <c r="A34" s="33" t="s">
        <v>43</v>
      </c>
      <c r="B34" s="34">
        <f>ROUND(D34*2080/12,1)</f>
        <v>152.9</v>
      </c>
      <c r="C34" s="35">
        <v>26.397000000000002</v>
      </c>
      <c r="D34" s="36">
        <f>D33*SUM('Directcare Schedule'!C48:C50)</f>
        <v>0.88230769230769235</v>
      </c>
      <c r="E34" s="11"/>
      <c r="F34" s="11"/>
    </row>
    <row r="35" spans="1:21" x14ac:dyDescent="0.25">
      <c r="A35" s="33" t="s">
        <v>44</v>
      </c>
      <c r="B35" s="34">
        <f>ROUNDUP(Beds*E35*(52/12)+(E35*Beds*(52/12)*SUM('Directcare Schedule'!C48:C50)),1)</f>
        <v>14.6</v>
      </c>
      <c r="C35" s="35">
        <v>26.397000000000002</v>
      </c>
      <c r="D35" s="36">
        <f t="shared" si="1"/>
        <v>0.1</v>
      </c>
      <c r="E35" s="11">
        <v>0.5</v>
      </c>
      <c r="F35" s="11" t="s">
        <v>45</v>
      </c>
    </row>
    <row r="36" spans="1:21" x14ac:dyDescent="0.25">
      <c r="A36" s="33" t="s">
        <v>46</v>
      </c>
      <c r="B36" s="34">
        <f>ROUND(((2080/12)*F36)+((2080/12)*F36)*SUM('Directcare Schedule'!C48:C50),1)</f>
        <v>64</v>
      </c>
      <c r="C36" s="35">
        <v>29.834134615384617</v>
      </c>
      <c r="D36" s="36">
        <v>0.33</v>
      </c>
      <c r="E36" s="11" t="s">
        <v>47</v>
      </c>
      <c r="F36">
        <v>0.33</v>
      </c>
    </row>
    <row r="37" spans="1:21" x14ac:dyDescent="0.25">
      <c r="A37" s="37" t="s">
        <v>48</v>
      </c>
      <c r="B37" s="38">
        <f>SUM(B30:B36)</f>
        <v>1778.4</v>
      </c>
      <c r="C37" s="39"/>
      <c r="D37" s="40">
        <f>SUM(D30:D36)</f>
        <v>9.9323076923076936</v>
      </c>
      <c r="E37" s="41"/>
      <c r="F37" s="42"/>
    </row>
    <row r="38" spans="1:21" x14ac:dyDescent="0.25">
      <c r="A38" s="43"/>
      <c r="B38" s="44"/>
      <c r="E38" s="45"/>
    </row>
    <row r="39" spans="1:21" ht="15.75" x14ac:dyDescent="0.25">
      <c r="A39" s="211" t="s">
        <v>49</v>
      </c>
      <c r="B39" s="212"/>
      <c r="C39" s="212" t="s">
        <v>49</v>
      </c>
      <c r="D39" s="212"/>
      <c r="E39" s="213"/>
      <c r="J39" s="214"/>
    </row>
    <row r="40" spans="1:21" x14ac:dyDescent="0.25">
      <c r="A40" s="46" t="s">
        <v>50</v>
      </c>
      <c r="B40" s="10" t="s">
        <v>51</v>
      </c>
      <c r="C40" s="10" t="s">
        <v>6</v>
      </c>
      <c r="D40" s="21" t="s">
        <v>52</v>
      </c>
      <c r="E40" s="47" t="s">
        <v>7</v>
      </c>
      <c r="G40" s="48"/>
      <c r="J40" s="214"/>
      <c r="O40" s="48"/>
      <c r="P40" s="48"/>
      <c r="Q40" s="48"/>
      <c r="R40" s="48"/>
      <c r="S40" s="48"/>
      <c r="T40" s="48"/>
      <c r="U40" s="48"/>
    </row>
    <row r="41" spans="1:21" ht="15.75" x14ac:dyDescent="0.25">
      <c r="A41" s="49" t="s">
        <v>53</v>
      </c>
      <c r="B41" s="50">
        <v>700</v>
      </c>
      <c r="C41" s="51">
        <f>D41*((D32+D33)*2)</f>
        <v>8400</v>
      </c>
      <c r="D41" s="52">
        <v>500</v>
      </c>
      <c r="E41" s="53" t="s">
        <v>54</v>
      </c>
      <c r="G41" s="48"/>
      <c r="I41" s="7"/>
      <c r="J41" s="54"/>
      <c r="O41" s="48"/>
      <c r="P41" s="48"/>
      <c r="Q41" s="48"/>
      <c r="R41" s="48"/>
      <c r="S41" s="48"/>
      <c r="T41" s="48"/>
      <c r="U41" s="48"/>
    </row>
    <row r="42" spans="1:21" ht="15.75" x14ac:dyDescent="0.25">
      <c r="A42" s="55" t="s">
        <v>22</v>
      </c>
      <c r="B42" s="50">
        <v>413.84615384615387</v>
      </c>
      <c r="C42" s="51">
        <f>B20*SUM(D30:D36)</f>
        <v>4966.1538461538466</v>
      </c>
      <c r="D42" s="52">
        <f>B20</f>
        <v>500</v>
      </c>
      <c r="E42" s="53" t="s">
        <v>55</v>
      </c>
      <c r="G42" s="48"/>
      <c r="I42" s="7"/>
      <c r="J42" s="54"/>
      <c r="O42" s="48"/>
      <c r="P42" s="48"/>
      <c r="Q42" s="48"/>
      <c r="R42" s="48"/>
      <c r="S42" s="48"/>
      <c r="T42" s="48"/>
      <c r="U42" s="48"/>
    </row>
    <row r="43" spans="1:21" ht="30" x14ac:dyDescent="0.25">
      <c r="A43" s="56" t="s">
        <v>56</v>
      </c>
      <c r="B43" s="50">
        <f>0.656*250*6</f>
        <v>984</v>
      </c>
      <c r="C43" s="51">
        <f>B43*12</f>
        <v>11808</v>
      </c>
      <c r="D43" s="52">
        <v>250</v>
      </c>
      <c r="E43" s="57" t="s">
        <v>137</v>
      </c>
      <c r="G43" s="48"/>
      <c r="I43" s="7"/>
      <c r="J43" s="54"/>
      <c r="O43" s="48"/>
      <c r="P43" s="48"/>
      <c r="Q43" s="48"/>
      <c r="R43" s="48"/>
      <c r="S43" s="48"/>
      <c r="T43" s="48"/>
      <c r="U43" s="48"/>
    </row>
    <row r="44" spans="1:21" x14ac:dyDescent="0.25">
      <c r="A44" s="49" t="s">
        <v>57</v>
      </c>
      <c r="B44" s="50">
        <v>3476.3076923076928</v>
      </c>
      <c r="C44" s="51">
        <f>SUM(D30:D36)*D44</f>
        <v>41715.692307692312</v>
      </c>
      <c r="D44" s="52">
        <f>B19</f>
        <v>4200</v>
      </c>
      <c r="E44" s="53" t="s">
        <v>58</v>
      </c>
      <c r="G44" s="48"/>
      <c r="I44" s="6"/>
      <c r="J44" s="58"/>
      <c r="O44" s="48"/>
      <c r="P44" s="48"/>
      <c r="Q44" s="48"/>
      <c r="R44" s="48"/>
      <c r="S44" s="48"/>
      <c r="T44" s="48"/>
      <c r="U44" s="48"/>
    </row>
    <row r="45" spans="1:21" x14ac:dyDescent="0.25">
      <c r="A45" s="49" t="s">
        <v>59</v>
      </c>
      <c r="B45" s="50">
        <v>2600</v>
      </c>
      <c r="C45" s="51">
        <v>31200</v>
      </c>
      <c r="D45" s="52">
        <v>31200</v>
      </c>
      <c r="E45" s="53" t="s">
        <v>6</v>
      </c>
    </row>
    <row r="46" spans="1:21" x14ac:dyDescent="0.25">
      <c r="A46" s="49" t="s">
        <v>60</v>
      </c>
      <c r="B46" s="50">
        <v>858.86623146655393</v>
      </c>
      <c r="C46" s="51">
        <f>B46*12</f>
        <v>10306.394777598647</v>
      </c>
      <c r="D46" s="52">
        <v>86.471971879377321</v>
      </c>
      <c r="E46" s="53" t="s">
        <v>61</v>
      </c>
    </row>
    <row r="47" spans="1:21" x14ac:dyDescent="0.25">
      <c r="A47" s="49" t="s">
        <v>62</v>
      </c>
      <c r="B47" s="50">
        <v>500</v>
      </c>
      <c r="C47" s="51">
        <f>D47</f>
        <v>6000</v>
      </c>
      <c r="D47" s="52">
        <v>6000</v>
      </c>
      <c r="E47" s="53" t="s">
        <v>63</v>
      </c>
    </row>
    <row r="48" spans="1:21" x14ac:dyDescent="0.25">
      <c r="A48" s="49" t="s">
        <v>64</v>
      </c>
      <c r="B48" s="50">
        <v>75</v>
      </c>
      <c r="C48" s="51">
        <f>D48</f>
        <v>900</v>
      </c>
      <c r="D48" s="52">
        <v>900</v>
      </c>
      <c r="E48" s="53" t="s">
        <v>63</v>
      </c>
    </row>
    <row r="49" spans="1:6" x14ac:dyDescent="0.25">
      <c r="A49" s="49" t="s">
        <v>65</v>
      </c>
      <c r="B49" s="50">
        <v>930</v>
      </c>
      <c r="C49" s="51">
        <f>B49*12</f>
        <v>11160</v>
      </c>
      <c r="D49" s="52">
        <v>155</v>
      </c>
      <c r="E49" s="53" t="s">
        <v>66</v>
      </c>
    </row>
    <row r="50" spans="1:6" x14ac:dyDescent="0.25">
      <c r="A50" s="49" t="s">
        <v>67</v>
      </c>
      <c r="B50" s="50">
        <v>450</v>
      </c>
      <c r="C50" s="51">
        <f t="shared" ref="C50:C55" si="2">B50*12</f>
        <v>5400</v>
      </c>
      <c r="D50" s="52">
        <v>75</v>
      </c>
      <c r="E50" s="53" t="s">
        <v>66</v>
      </c>
    </row>
    <row r="51" spans="1:6" x14ac:dyDescent="0.25">
      <c r="A51" s="59" t="s">
        <v>68</v>
      </c>
      <c r="B51" s="50">
        <v>420</v>
      </c>
      <c r="C51" s="51">
        <f t="shared" si="2"/>
        <v>5040</v>
      </c>
      <c r="D51" s="52">
        <v>70</v>
      </c>
      <c r="E51" s="53" t="s">
        <v>66</v>
      </c>
    </row>
    <row r="52" spans="1:6" x14ac:dyDescent="0.25">
      <c r="A52" s="49" t="s">
        <v>69</v>
      </c>
      <c r="B52" s="50">
        <v>300</v>
      </c>
      <c r="C52" s="51">
        <f t="shared" si="2"/>
        <v>3600</v>
      </c>
      <c r="D52" s="52">
        <v>50</v>
      </c>
      <c r="E52" s="53" t="s">
        <v>66</v>
      </c>
    </row>
    <row r="53" spans="1:6" x14ac:dyDescent="0.25">
      <c r="A53" s="49" t="s">
        <v>70</v>
      </c>
      <c r="B53" s="50">
        <v>2124</v>
      </c>
      <c r="C53" s="51">
        <f t="shared" si="2"/>
        <v>25488</v>
      </c>
      <c r="D53" s="52">
        <v>354</v>
      </c>
      <c r="E53" s="53" t="s">
        <v>66</v>
      </c>
    </row>
    <row r="54" spans="1:6" x14ac:dyDescent="0.25">
      <c r="A54" s="59" t="s">
        <v>71</v>
      </c>
      <c r="B54" s="50">
        <v>1380</v>
      </c>
      <c r="C54" s="51">
        <f t="shared" si="2"/>
        <v>16560</v>
      </c>
      <c r="D54" s="52">
        <v>230</v>
      </c>
      <c r="E54" s="53" t="s">
        <v>66</v>
      </c>
    </row>
    <row r="55" spans="1:6" x14ac:dyDescent="0.25">
      <c r="A55" s="59" t="s">
        <v>72</v>
      </c>
      <c r="B55" s="50">
        <v>1002</v>
      </c>
      <c r="C55" s="51">
        <f t="shared" si="2"/>
        <v>12024</v>
      </c>
      <c r="D55" s="52">
        <v>167</v>
      </c>
      <c r="E55" s="53" t="s">
        <v>66</v>
      </c>
    </row>
    <row r="56" spans="1:6" x14ac:dyDescent="0.25">
      <c r="A56" s="60" t="s">
        <v>73</v>
      </c>
      <c r="B56" s="50">
        <v>675</v>
      </c>
      <c r="C56" s="51">
        <f>D56</f>
        <v>8100</v>
      </c>
      <c r="D56" s="52">
        <v>8100</v>
      </c>
      <c r="E56" s="61" t="s">
        <v>63</v>
      </c>
    </row>
    <row r="57" spans="1:6" x14ac:dyDescent="0.25">
      <c r="A57" s="49" t="s">
        <v>74</v>
      </c>
      <c r="B57" s="50">
        <v>91.666666666666671</v>
      </c>
      <c r="C57" s="51">
        <f>D57</f>
        <v>1100</v>
      </c>
      <c r="D57" s="52">
        <v>1100</v>
      </c>
      <c r="E57" s="61" t="s">
        <v>63</v>
      </c>
    </row>
    <row r="58" spans="1:6" x14ac:dyDescent="0.25">
      <c r="A58" s="62" t="s">
        <v>75</v>
      </c>
      <c r="B58" s="63">
        <v>3390</v>
      </c>
      <c r="C58" s="64">
        <f>B58*12</f>
        <v>40680</v>
      </c>
      <c r="D58" s="65">
        <f>B58</f>
        <v>3390</v>
      </c>
      <c r="E58" s="61" t="s">
        <v>76</v>
      </c>
    </row>
    <row r="59" spans="1:6" x14ac:dyDescent="0.25">
      <c r="A59" s="37" t="s">
        <v>48</v>
      </c>
      <c r="B59" s="66">
        <v>20370.686744287068</v>
      </c>
      <c r="C59" s="66"/>
      <c r="D59" s="67"/>
      <c r="E59" s="68"/>
    </row>
    <row r="60" spans="1:6" x14ac:dyDescent="0.25">
      <c r="B60" s="69"/>
      <c r="C60" s="70"/>
    </row>
    <row r="61" spans="1:6" ht="15.75" x14ac:dyDescent="0.25">
      <c r="F61" s="7"/>
    </row>
    <row r="62" spans="1:6" x14ac:dyDescent="0.25">
      <c r="A62" s="215" t="s">
        <v>77</v>
      </c>
      <c r="B62" s="216"/>
    </row>
    <row r="63" spans="1:6" ht="30" x14ac:dyDescent="0.25">
      <c r="A63" s="71" t="s">
        <v>78</v>
      </c>
      <c r="B63" s="72"/>
    </row>
    <row r="65" spans="4:4" x14ac:dyDescent="0.25">
      <c r="D65" s="73"/>
    </row>
  </sheetData>
  <mergeCells count="11">
    <mergeCell ref="A27:F27"/>
    <mergeCell ref="A1:G1"/>
    <mergeCell ref="A4:G4"/>
    <mergeCell ref="A8:C8"/>
    <mergeCell ref="A14:C14"/>
    <mergeCell ref="A21:C21"/>
    <mergeCell ref="E28:F28"/>
    <mergeCell ref="A29:B29"/>
    <mergeCell ref="A39:E39"/>
    <mergeCell ref="J39:J40"/>
    <mergeCell ref="A62:B62"/>
  </mergeCells>
  <dataValidations count="1">
    <dataValidation type="list" allowBlank="1" showInputMessage="1" showErrorMessage="1" sqref="R8" xr:uid="{2CBB80CF-B30E-4EAC-806D-AFF12F1A78B6}">
      <formula1>"Snohomish,Northwest,Olympic,Pacific-Mountain,Seattle-King,Tacoma-Pierce,Southwest,North-Center,South-Central,Eastern,Benton-Franklin,Spokane,WA-State"</formula1>
    </dataValidation>
  </dataValidations>
  <hyperlinks>
    <hyperlink ref="R12" r:id="rId1" display="https://www.wtb.wa.gov/planning-programs/regional-workforce-plans/" xr:uid="{106A6499-7675-497D-9F99-D0662C81B85F}"/>
    <hyperlink ref="E43" r:id="rId2" location=":~:text=The%20privately%20owned%20vehicle%20mileage%20reimbursement%20rate%20is,%240.655%20per%20mile%2C%20as%20of%20January%201%2C%202023." display="miles per month per youth at OFM milage" xr:uid="{48F27C67-0E90-4BF2-BEDA-01C3D504CDBA}"/>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B3C1D-DF71-4375-B270-49B64BC888EF}">
  <dimension ref="B1:J39"/>
  <sheetViews>
    <sheetView zoomScaleNormal="100" workbookViewId="0">
      <selection activeCell="C24" sqref="C24"/>
    </sheetView>
  </sheetViews>
  <sheetFormatPr defaultRowHeight="15" x14ac:dyDescent="0.25"/>
  <cols>
    <col min="2" max="2" width="31.7109375" customWidth="1"/>
    <col min="3" max="4" width="12.5703125" customWidth="1"/>
    <col min="5" max="5" width="16.5703125" customWidth="1"/>
    <col min="6" max="6" width="16.7109375" customWidth="1"/>
    <col min="7" max="7" width="10.140625" customWidth="1"/>
    <col min="8" max="8" width="16.28515625" customWidth="1"/>
    <col min="9" max="9" width="19.7109375" customWidth="1"/>
    <col min="10" max="10" width="23.28515625" customWidth="1"/>
    <col min="11" max="11" width="19.85546875" customWidth="1"/>
  </cols>
  <sheetData>
    <row r="1" spans="2:8" ht="19.5" x14ac:dyDescent="0.3">
      <c r="B1" s="224" t="s">
        <v>105</v>
      </c>
      <c r="C1" s="224"/>
      <c r="D1" s="224"/>
      <c r="E1" s="224"/>
    </row>
    <row r="2" spans="2:8" x14ac:dyDescent="0.25">
      <c r="B2" s="119"/>
      <c r="C2" s="119"/>
      <c r="D2" s="119"/>
      <c r="E2" s="119"/>
    </row>
    <row r="3" spans="2:8" x14ac:dyDescent="0.25">
      <c r="B3" s="120" t="s">
        <v>50</v>
      </c>
      <c r="C3" s="121" t="s">
        <v>51</v>
      </c>
      <c r="D3" s="121" t="s">
        <v>98</v>
      </c>
      <c r="E3" s="122" t="s">
        <v>6</v>
      </c>
      <c r="F3" s="6"/>
    </row>
    <row r="4" spans="2:8" x14ac:dyDescent="0.25">
      <c r="B4" s="123" t="str">
        <f>'EPS Cost Assumptions'!A30</f>
        <v>Executive*</v>
      </c>
      <c r="C4" s="124">
        <f>'EPS Cost Assumptions'!C30*'EPS Cost Assumptions'!B30</f>
        <v>1447.425</v>
      </c>
      <c r="D4" s="125">
        <f t="shared" ref="D4:D10" si="0">C4/$C$20</f>
        <v>1.7985251460950157E-2</v>
      </c>
      <c r="E4" s="126">
        <f t="shared" ref="E4:E10" si="1">C4*12</f>
        <v>17369.099999999999</v>
      </c>
      <c r="F4" s="127"/>
      <c r="G4" s="118"/>
    </row>
    <row r="5" spans="2:8" x14ac:dyDescent="0.25">
      <c r="B5" s="123" t="str">
        <f>'EPS Cost Assumptions'!A31</f>
        <v>Directors*</v>
      </c>
      <c r="C5" s="124">
        <f>'EPS Cost Assumptions'!C31*'EPS Cost Assumptions'!B31</f>
        <v>2175.776682692308</v>
      </c>
      <c r="D5" s="125">
        <f t="shared" si="0"/>
        <v>2.7035522228159053E-2</v>
      </c>
      <c r="E5" s="126">
        <f t="shared" si="1"/>
        <v>26109.320192307696</v>
      </c>
      <c r="G5" s="118"/>
    </row>
    <row r="6" spans="2:8" ht="30" x14ac:dyDescent="0.25">
      <c r="B6" s="123" t="str">
        <f>'EPS Cost Assumptions'!A32</f>
        <v>Program Management/Direct Care Supervisor*</v>
      </c>
      <c r="C6" s="124">
        <f>'EPS Cost Assumptions'!C32*'EPS Cost Assumptions'!B32</f>
        <v>6059.6953200000007</v>
      </c>
      <c r="D6" s="125">
        <f t="shared" si="0"/>
        <v>7.5295883452989168E-2</v>
      </c>
      <c r="E6" s="126">
        <f t="shared" si="1"/>
        <v>72716.343840000016</v>
      </c>
      <c r="G6" s="118"/>
    </row>
    <row r="7" spans="2:8" x14ac:dyDescent="0.25">
      <c r="B7" s="123" t="str">
        <f>'EPS Cost Assumptions'!A33</f>
        <v>Direct Care Staff</v>
      </c>
      <c r="C7" s="124">
        <f>'EPS Cost Assumptions'!C33*'EPS Cost Assumptions'!B33</f>
        <v>33859.431900000003</v>
      </c>
      <c r="D7" s="125">
        <f t="shared" si="0"/>
        <v>0.42072673682326711</v>
      </c>
      <c r="E7" s="126">
        <f t="shared" si="1"/>
        <v>406313.18280000007</v>
      </c>
      <c r="G7" s="118"/>
    </row>
    <row r="8" spans="2:8" ht="18" customHeight="1" x14ac:dyDescent="0.25">
      <c r="B8" s="123" t="str">
        <f>'EPS Cost Assumptions'!A34</f>
        <v>Direct Care PTO/Holliday Coverage</v>
      </c>
      <c r="C8" s="124">
        <f>'EPS Cost Assumptions'!C34*'EPS Cost Assumptions'!B34</f>
        <v>4036.1013000000003</v>
      </c>
      <c r="D8" s="125">
        <f t="shared" si="0"/>
        <v>5.0151335511247792E-2</v>
      </c>
      <c r="E8" s="126">
        <f t="shared" si="1"/>
        <v>48433.215600000003</v>
      </c>
      <c r="G8" s="118"/>
    </row>
    <row r="9" spans="2:8" x14ac:dyDescent="0.25">
      <c r="B9" s="123" t="str">
        <f>'EPS Cost Assumptions'!A35</f>
        <v>Administrative</v>
      </c>
      <c r="C9" s="124">
        <f>'EPS Cost Assumptions'!C35*'EPS Cost Assumptions'!B35</f>
        <v>385.39620000000002</v>
      </c>
      <c r="D9" s="125">
        <f t="shared" si="0"/>
        <v>4.7888129395959305E-3</v>
      </c>
      <c r="E9" s="126">
        <f t="shared" si="1"/>
        <v>4624.7543999999998</v>
      </c>
      <c r="G9" s="176">
        <f>E7/E11</f>
        <v>0.67891020467335439</v>
      </c>
      <c r="H9" t="s">
        <v>113</v>
      </c>
    </row>
    <row r="10" spans="2:8" x14ac:dyDescent="0.25">
      <c r="B10" s="128" t="str">
        <f>'EPS Cost Assumptions'!A36</f>
        <v>Maintenance Staff Expense</v>
      </c>
      <c r="C10" s="129">
        <f>'EPS Cost Assumptions'!C36*'EPS Cost Assumptions'!B36</f>
        <v>1909.3846153846155</v>
      </c>
      <c r="D10" s="130">
        <f t="shared" si="0"/>
        <v>2.3725417512729094E-2</v>
      </c>
      <c r="E10" s="131">
        <f t="shared" si="1"/>
        <v>22912.615384615387</v>
      </c>
      <c r="G10" s="17">
        <f>SUM('EPS Cost Assumptions'!B49:B55)/'EPS Cost Assumptions'!B59*(C18/SUM(C18,C11,C16))</f>
        <v>8.2084094962458665E-2</v>
      </c>
      <c r="H10" t="s">
        <v>114</v>
      </c>
    </row>
    <row r="11" spans="2:8" x14ac:dyDescent="0.25">
      <c r="B11" s="132" t="s">
        <v>99</v>
      </c>
      <c r="C11" s="133">
        <f>SUM(C4:C10)</f>
        <v>49873.211018076938</v>
      </c>
      <c r="D11" s="134">
        <f>SUM(D4:D10)</f>
        <v>0.61970895992893826</v>
      </c>
      <c r="E11" s="135">
        <f>SUM(E4:E10)</f>
        <v>598478.53221692319</v>
      </c>
      <c r="G11" s="118"/>
    </row>
    <row r="12" spans="2:8" x14ac:dyDescent="0.25">
      <c r="B12" s="136"/>
      <c r="C12" s="137"/>
      <c r="D12" s="136"/>
      <c r="E12" s="137"/>
    </row>
    <row r="13" spans="2:8" x14ac:dyDescent="0.25">
      <c r="B13" s="138" t="s">
        <v>100</v>
      </c>
      <c r="C13" s="139">
        <f>($C$11+C18)*0.05*'EPS Cost Assumptions'!B10</f>
        <v>702.4389776236402</v>
      </c>
      <c r="D13" s="140">
        <f>C13/$C$20</f>
        <v>8.728287578654445E-3</v>
      </c>
      <c r="E13" s="141">
        <f>C13*12</f>
        <v>8429.2677314836819</v>
      </c>
      <c r="G13" s="118"/>
    </row>
    <row r="14" spans="2:8" x14ac:dyDescent="0.25">
      <c r="B14" s="138" t="s">
        <v>9</v>
      </c>
      <c r="C14" s="139">
        <f>$C$11*'EPS Cost Assumptions'!B11</f>
        <v>8478.4458730730803</v>
      </c>
      <c r="D14" s="140">
        <f t="shared" ref="D14:D15" si="2">C14/$C$20</f>
        <v>0.10535052318791954</v>
      </c>
      <c r="E14" s="141">
        <f t="shared" ref="E14:E15" si="3">C14*12</f>
        <v>101741.35047687696</v>
      </c>
      <c r="G14" s="118"/>
    </row>
    <row r="15" spans="2:8" x14ac:dyDescent="0.25">
      <c r="B15" s="138" t="s">
        <v>10</v>
      </c>
      <c r="C15" s="139">
        <f>($C$11+C18)*'EPS Cost Assumptions'!B12</f>
        <v>1053.65846643546</v>
      </c>
      <c r="D15" s="140">
        <f t="shared" si="2"/>
        <v>1.3092431367981664E-2</v>
      </c>
      <c r="E15" s="141">
        <f t="shared" si="3"/>
        <v>12643.90159722552</v>
      </c>
      <c r="G15" s="118"/>
    </row>
    <row r="16" spans="2:8" x14ac:dyDescent="0.25">
      <c r="B16" s="142" t="s">
        <v>3</v>
      </c>
      <c r="C16" s="143">
        <f>SUM(C13:C15)</f>
        <v>10234.54331713218</v>
      </c>
      <c r="D16" s="144">
        <f>SUM(D13:D15)</f>
        <v>0.12717124213455566</v>
      </c>
      <c r="E16" s="145">
        <f>SUM(E13:E15)</f>
        <v>122814.51980558615</v>
      </c>
      <c r="G16" s="118"/>
    </row>
    <row r="17" spans="2:8" x14ac:dyDescent="0.25">
      <c r="B17" s="146"/>
      <c r="C17" s="147"/>
      <c r="D17" s="148"/>
      <c r="E17" s="149"/>
    </row>
    <row r="18" spans="2:8" x14ac:dyDescent="0.25">
      <c r="B18" s="142" t="s">
        <v>101</v>
      </c>
      <c r="C18" s="143">
        <f>'EPS Cost Assumptions'!B59</f>
        <v>20370.686744287068</v>
      </c>
      <c r="D18" s="144">
        <f>C18/$C$20</f>
        <v>0.25311979793650585</v>
      </c>
      <c r="E18" s="145">
        <f t="shared" ref="E18" si="4">C18*12</f>
        <v>244448.2409314448</v>
      </c>
    </row>
    <row r="20" spans="2:8" x14ac:dyDescent="0.25">
      <c r="B20" s="150" t="s">
        <v>102</v>
      </c>
      <c r="C20" s="151">
        <f>SUM(C11,C16,C18)</f>
        <v>80478.441079496188</v>
      </c>
      <c r="D20" s="152"/>
      <c r="E20" s="153"/>
      <c r="F20" s="154"/>
      <c r="G20" s="155"/>
      <c r="H20" s="156"/>
    </row>
    <row r="21" spans="2:8" x14ac:dyDescent="0.25">
      <c r="B21" s="157" t="s">
        <v>103</v>
      </c>
      <c r="C21" s="158">
        <f>C20/Beds</f>
        <v>13413.073513249365</v>
      </c>
      <c r="D21" s="159"/>
      <c r="E21" s="160"/>
      <c r="F21" s="154"/>
      <c r="G21" s="155"/>
      <c r="H21" s="156"/>
    </row>
    <row r="22" spans="2:8" x14ac:dyDescent="0.25">
      <c r="B22" s="161" t="s">
        <v>133</v>
      </c>
      <c r="C22" s="181">
        <v>0.40002213992382241</v>
      </c>
      <c r="D22" s="162"/>
      <c r="E22" s="163"/>
      <c r="G22" s="155"/>
    </row>
    <row r="23" spans="2:8" x14ac:dyDescent="0.25">
      <c r="B23" s="164" t="s">
        <v>134</v>
      </c>
      <c r="C23" s="180">
        <f>1-C22</f>
        <v>0.59997786007617759</v>
      </c>
      <c r="D23" s="165"/>
      <c r="E23" s="166"/>
    </row>
    <row r="24" spans="2:8" x14ac:dyDescent="0.25">
      <c r="D24" s="167"/>
      <c r="E24" s="168"/>
    </row>
    <row r="28" spans="2:8" x14ac:dyDescent="0.25">
      <c r="C28" s="167"/>
      <c r="D28" s="167"/>
      <c r="E28" s="73"/>
    </row>
    <row r="29" spans="2:8" x14ac:dyDescent="0.25">
      <c r="C29" s="156"/>
      <c r="D29" s="169"/>
      <c r="E29" s="156"/>
    </row>
    <row r="30" spans="2:8" x14ac:dyDescent="0.25">
      <c r="C30" s="167"/>
      <c r="D30" s="167"/>
      <c r="E30" s="73"/>
    </row>
    <row r="31" spans="2:8" x14ac:dyDescent="0.25">
      <c r="C31" s="156"/>
      <c r="D31" s="169"/>
      <c r="E31" s="156"/>
    </row>
    <row r="32" spans="2:8" x14ac:dyDescent="0.25">
      <c r="C32" s="170"/>
      <c r="D32" s="170"/>
      <c r="E32" s="170"/>
    </row>
    <row r="34" spans="3:10" x14ac:dyDescent="0.25">
      <c r="C34" s="156"/>
      <c r="D34" s="156"/>
      <c r="E34" s="156"/>
    </row>
    <row r="35" spans="3:10" x14ac:dyDescent="0.25">
      <c r="C35" s="156"/>
      <c r="D35" s="156"/>
      <c r="E35" s="156"/>
    </row>
    <row r="36" spans="3:10" ht="15.75" hidden="1" thickBot="1" x14ac:dyDescent="0.3">
      <c r="C36" s="171"/>
      <c r="D36" s="171"/>
      <c r="E36" s="171"/>
    </row>
    <row r="37" spans="3:10" x14ac:dyDescent="0.25">
      <c r="J37" s="168"/>
    </row>
    <row r="38" spans="3:10" x14ac:dyDescent="0.25">
      <c r="C38" s="127"/>
      <c r="D38" s="127"/>
    </row>
    <row r="39" spans="3:10" x14ac:dyDescent="0.25">
      <c r="C39" s="156"/>
      <c r="D39" s="156"/>
      <c r="E39" s="127"/>
    </row>
  </sheetData>
  <mergeCells count="1">
    <mergeCell ref="B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863DF-D0BC-4EB6-9FA8-641B59D19CA9}">
  <dimension ref="B1:S52"/>
  <sheetViews>
    <sheetView topLeftCell="A3" zoomScaleNormal="100" workbookViewId="0">
      <selection activeCell="B5" sqref="B5:F28"/>
    </sheetView>
  </sheetViews>
  <sheetFormatPr defaultRowHeight="15" x14ac:dyDescent="0.25"/>
  <cols>
    <col min="2" max="2" width="21.140625" bestFit="1" customWidth="1"/>
    <col min="3" max="3" width="9.85546875" customWidth="1"/>
    <col min="4" max="4" width="15.140625" customWidth="1"/>
    <col min="5" max="5" width="11.42578125" customWidth="1"/>
    <col min="6" max="6" width="9.5703125" customWidth="1"/>
    <col min="8" max="8" width="31.140625" customWidth="1"/>
    <col min="9" max="9" width="18" customWidth="1"/>
    <col min="11" max="12" width="9.42578125" customWidth="1"/>
    <col min="13" max="13" width="9.5703125" customWidth="1"/>
    <col min="15" max="15" width="3.85546875" customWidth="1"/>
  </cols>
  <sheetData>
    <row r="1" spans="2:19" ht="20.25" thickBot="1" x14ac:dyDescent="0.35">
      <c r="B1" s="217" t="s">
        <v>79</v>
      </c>
      <c r="C1" s="217"/>
      <c r="D1" s="217"/>
      <c r="E1" s="217"/>
      <c r="F1" s="217"/>
    </row>
    <row r="2" spans="2:19" ht="15.75" thickTop="1" x14ac:dyDescent="0.25"/>
    <row r="4" spans="2:19" ht="45" x14ac:dyDescent="0.25">
      <c r="B4" s="233" t="s">
        <v>80</v>
      </c>
      <c r="C4" s="233"/>
      <c r="D4" s="74" t="s">
        <v>81</v>
      </c>
      <c r="E4" s="74" t="s">
        <v>82</v>
      </c>
      <c r="F4" s="75" t="s">
        <v>83</v>
      </c>
      <c r="J4" s="76"/>
      <c r="K4" s="77"/>
      <c r="L4" s="77"/>
      <c r="M4" s="77"/>
      <c r="N4" s="77"/>
      <c r="O4" s="76"/>
    </row>
    <row r="5" spans="2:19" ht="14.45" customHeight="1" x14ac:dyDescent="0.25">
      <c r="B5" s="234" t="s">
        <v>84</v>
      </c>
      <c r="C5" s="78">
        <v>0.33333333333333331</v>
      </c>
      <c r="D5" s="79">
        <v>1</v>
      </c>
      <c r="E5" s="79">
        <v>2</v>
      </c>
      <c r="F5" s="80"/>
      <c r="H5" s="81"/>
      <c r="J5" s="82"/>
      <c r="K5" s="76"/>
      <c r="L5" s="76"/>
      <c r="N5" s="76"/>
      <c r="O5" s="76"/>
      <c r="P5" s="83"/>
      <c r="Q5" s="83"/>
      <c r="R5" s="83"/>
      <c r="S5" s="83"/>
    </row>
    <row r="6" spans="2:19" x14ac:dyDescent="0.25">
      <c r="B6" s="235"/>
      <c r="C6" s="78">
        <v>0.375</v>
      </c>
      <c r="D6" s="84">
        <v>1</v>
      </c>
      <c r="E6" s="84">
        <v>2</v>
      </c>
      <c r="F6" s="85"/>
      <c r="H6" s="81"/>
      <c r="J6" s="82"/>
      <c r="K6" s="76"/>
      <c r="L6" s="76"/>
      <c r="M6" s="76"/>
      <c r="N6" s="76"/>
      <c r="O6" s="76"/>
      <c r="P6" s="83"/>
      <c r="Q6" s="83"/>
      <c r="R6" s="83"/>
      <c r="S6" s="83"/>
    </row>
    <row r="7" spans="2:19" x14ac:dyDescent="0.25">
      <c r="B7" s="235"/>
      <c r="C7" s="78">
        <v>0.41666666666666669</v>
      </c>
      <c r="D7" s="84">
        <v>1</v>
      </c>
      <c r="E7" s="84">
        <v>2</v>
      </c>
      <c r="F7" s="85"/>
      <c r="H7" s="81"/>
      <c r="J7" s="82"/>
      <c r="K7" s="76"/>
      <c r="L7" s="76"/>
      <c r="M7" s="76"/>
      <c r="N7" s="76"/>
      <c r="O7" s="76"/>
      <c r="P7" s="83"/>
      <c r="Q7" s="83"/>
      <c r="R7" s="83"/>
      <c r="S7" s="83"/>
    </row>
    <row r="8" spans="2:19" x14ac:dyDescent="0.25">
      <c r="B8" s="235"/>
      <c r="C8" s="78">
        <v>0.45833333333333331</v>
      </c>
      <c r="D8" s="84">
        <v>1</v>
      </c>
      <c r="E8" s="84">
        <v>2</v>
      </c>
      <c r="F8" s="85"/>
      <c r="H8" s="81"/>
      <c r="J8" s="82"/>
      <c r="K8" s="76"/>
      <c r="L8" s="76"/>
      <c r="M8" s="76"/>
      <c r="N8" s="76"/>
      <c r="O8" s="76"/>
      <c r="P8" s="83"/>
      <c r="Q8" s="83"/>
      <c r="R8" s="83"/>
      <c r="S8" s="83"/>
    </row>
    <row r="9" spans="2:19" x14ac:dyDescent="0.25">
      <c r="B9" s="236" t="s">
        <v>85</v>
      </c>
      <c r="C9" s="78">
        <v>0.5</v>
      </c>
      <c r="D9" s="84">
        <v>1</v>
      </c>
      <c r="E9" s="84">
        <v>2</v>
      </c>
      <c r="F9" s="85"/>
      <c r="H9" s="81"/>
      <c r="J9" s="82"/>
      <c r="K9" s="76"/>
      <c r="L9" s="76"/>
      <c r="M9" s="76"/>
      <c r="N9" s="76"/>
      <c r="O9" s="76"/>
      <c r="P9" s="83"/>
      <c r="Q9" s="83"/>
      <c r="R9" s="83"/>
      <c r="S9" s="83"/>
    </row>
    <row r="10" spans="2:19" x14ac:dyDescent="0.25">
      <c r="B10" s="237"/>
      <c r="C10" s="78">
        <v>0.54166666666666663</v>
      </c>
      <c r="D10" s="84">
        <v>1</v>
      </c>
      <c r="E10" s="84">
        <v>2</v>
      </c>
      <c r="F10" s="85"/>
      <c r="J10" s="82"/>
      <c r="K10" s="76"/>
      <c r="L10" s="76"/>
      <c r="M10" s="76"/>
      <c r="N10" s="76"/>
      <c r="O10" s="76"/>
      <c r="P10" s="83"/>
      <c r="Q10" s="83"/>
      <c r="R10" s="83"/>
      <c r="S10" s="83"/>
    </row>
    <row r="11" spans="2:19" x14ac:dyDescent="0.25">
      <c r="B11" s="237"/>
      <c r="C11" s="78">
        <v>0.58333333333333337</v>
      </c>
      <c r="D11" s="84">
        <v>1</v>
      </c>
      <c r="E11" s="84">
        <v>2</v>
      </c>
      <c r="F11" s="85"/>
      <c r="J11" s="82"/>
      <c r="K11" s="76"/>
      <c r="L11" s="76"/>
      <c r="M11" s="76"/>
      <c r="N11" s="76"/>
      <c r="O11" s="76"/>
      <c r="P11" s="83"/>
      <c r="Q11" s="83"/>
      <c r="R11" s="83"/>
      <c r="S11" s="83"/>
    </row>
    <row r="12" spans="2:19" x14ac:dyDescent="0.25">
      <c r="B12" s="237"/>
      <c r="C12" s="86">
        <v>0.625</v>
      </c>
      <c r="D12" s="87">
        <v>1</v>
      </c>
      <c r="E12" s="87">
        <v>2</v>
      </c>
      <c r="F12" s="85"/>
      <c r="J12" s="82"/>
      <c r="K12" s="76"/>
      <c r="L12" s="76"/>
      <c r="M12" s="76"/>
      <c r="N12" s="88"/>
      <c r="O12" s="76"/>
      <c r="P12" s="83"/>
      <c r="Q12" s="83"/>
      <c r="R12" s="83"/>
      <c r="S12" s="83"/>
    </row>
    <row r="13" spans="2:19" x14ac:dyDescent="0.25">
      <c r="B13" s="237"/>
      <c r="C13" s="78">
        <v>0.66666666666666663</v>
      </c>
      <c r="D13" s="84">
        <v>2</v>
      </c>
      <c r="E13" s="84">
        <v>2</v>
      </c>
      <c r="F13" s="89"/>
      <c r="J13" s="82"/>
      <c r="K13" s="76"/>
      <c r="L13" s="76"/>
      <c r="M13" s="76"/>
      <c r="N13" s="76"/>
      <c r="O13" s="76"/>
    </row>
    <row r="14" spans="2:19" x14ac:dyDescent="0.25">
      <c r="B14" s="237"/>
      <c r="C14" s="78">
        <v>0.70833333333333337</v>
      </c>
      <c r="D14" s="84">
        <v>2</v>
      </c>
      <c r="E14" s="84">
        <v>2</v>
      </c>
      <c r="F14" s="85"/>
      <c r="J14" s="82"/>
      <c r="K14" s="76"/>
      <c r="L14" s="76"/>
      <c r="M14" s="76"/>
      <c r="N14" s="76"/>
      <c r="O14" s="76"/>
      <c r="P14" s="199"/>
      <c r="Q14" s="199"/>
      <c r="R14" s="199"/>
      <c r="S14" s="199"/>
    </row>
    <row r="15" spans="2:19" x14ac:dyDescent="0.25">
      <c r="B15" s="237"/>
      <c r="C15" s="78">
        <v>0.75</v>
      </c>
      <c r="D15" s="84">
        <v>2</v>
      </c>
      <c r="E15" s="84">
        <v>2</v>
      </c>
      <c r="F15" s="85"/>
      <c r="K15" s="76"/>
      <c r="L15" s="76"/>
      <c r="M15" s="76"/>
      <c r="N15" s="76"/>
      <c r="O15" s="76"/>
    </row>
    <row r="16" spans="2:19" x14ac:dyDescent="0.25">
      <c r="B16" s="237"/>
      <c r="C16" s="78">
        <v>0.79166666666666663</v>
      </c>
      <c r="D16" s="84">
        <v>2</v>
      </c>
      <c r="E16" s="84">
        <v>2</v>
      </c>
      <c r="F16" s="85"/>
      <c r="K16" s="76"/>
      <c r="L16" s="76"/>
      <c r="M16" s="76"/>
      <c r="N16" s="76"/>
      <c r="O16" s="76"/>
    </row>
    <row r="17" spans="2:16" x14ac:dyDescent="0.25">
      <c r="B17" s="237"/>
      <c r="C17" s="91">
        <v>0.83333333333333337</v>
      </c>
      <c r="D17" s="84">
        <v>2</v>
      </c>
      <c r="E17" s="84">
        <v>2</v>
      </c>
      <c r="F17" s="85"/>
      <c r="K17" s="76"/>
      <c r="L17" s="76"/>
      <c r="M17" s="76"/>
      <c r="N17" s="76"/>
      <c r="O17" s="76"/>
    </row>
    <row r="18" spans="2:16" x14ac:dyDescent="0.25">
      <c r="B18" s="225" t="s">
        <v>86</v>
      </c>
      <c r="C18" s="92">
        <v>0.875</v>
      </c>
      <c r="D18" s="93"/>
      <c r="E18" s="93"/>
      <c r="F18" s="94">
        <v>2</v>
      </c>
      <c r="K18" s="76"/>
      <c r="L18" s="76"/>
      <c r="M18" s="76"/>
      <c r="N18" s="76"/>
      <c r="O18" s="76"/>
    </row>
    <row r="19" spans="2:16" x14ac:dyDescent="0.25">
      <c r="B19" s="225"/>
      <c r="C19" s="92">
        <v>0.91666666666666663</v>
      </c>
      <c r="D19" s="93"/>
      <c r="E19" s="93"/>
      <c r="F19" s="94">
        <v>2</v>
      </c>
      <c r="J19" s="82"/>
      <c r="K19" s="76"/>
      <c r="L19" s="76"/>
      <c r="M19" s="76"/>
      <c r="N19" s="76"/>
      <c r="O19" s="76"/>
    </row>
    <row r="20" spans="2:16" x14ac:dyDescent="0.25">
      <c r="B20" s="225"/>
      <c r="C20" s="92">
        <v>0.95833333333333337</v>
      </c>
      <c r="D20" s="93"/>
      <c r="E20" s="93"/>
      <c r="F20" s="94">
        <v>2</v>
      </c>
      <c r="J20" s="82"/>
      <c r="K20" s="76"/>
      <c r="L20" s="76"/>
      <c r="M20" s="76"/>
      <c r="N20" s="76"/>
      <c r="O20" s="76"/>
    </row>
    <row r="21" spans="2:16" x14ac:dyDescent="0.25">
      <c r="B21" s="225"/>
      <c r="C21" s="92">
        <v>0</v>
      </c>
      <c r="D21" s="93"/>
      <c r="E21" s="93"/>
      <c r="F21" s="94">
        <v>2</v>
      </c>
      <c r="J21" s="82"/>
      <c r="K21" s="76"/>
      <c r="L21" s="76"/>
      <c r="M21" s="76"/>
      <c r="N21" s="76"/>
      <c r="O21" s="76"/>
    </row>
    <row r="22" spans="2:16" x14ac:dyDescent="0.25">
      <c r="B22" s="225"/>
      <c r="C22" s="92">
        <v>4.1666666666666664E-2</v>
      </c>
      <c r="D22" s="93"/>
      <c r="E22" s="93"/>
      <c r="F22" s="94">
        <v>2</v>
      </c>
      <c r="J22" s="82"/>
      <c r="K22" s="76"/>
      <c r="L22" s="76"/>
      <c r="M22" s="76"/>
      <c r="N22" s="76"/>
      <c r="O22" s="76"/>
    </row>
    <row r="23" spans="2:16" x14ac:dyDescent="0.25">
      <c r="B23" s="225"/>
      <c r="C23" s="92">
        <v>8.3333333333333329E-2</v>
      </c>
      <c r="D23" s="93"/>
      <c r="E23" s="93"/>
      <c r="F23" s="94">
        <v>2</v>
      </c>
      <c r="J23" s="82"/>
      <c r="K23" s="76"/>
      <c r="L23" s="76"/>
      <c r="M23" s="76"/>
      <c r="N23" s="76"/>
      <c r="O23" s="76"/>
    </row>
    <row r="24" spans="2:16" x14ac:dyDescent="0.25">
      <c r="B24" s="225"/>
      <c r="C24" s="92">
        <v>0.125</v>
      </c>
      <c r="D24" s="93"/>
      <c r="E24" s="93"/>
      <c r="F24" s="94">
        <v>2</v>
      </c>
      <c r="J24" s="82"/>
      <c r="K24" s="76"/>
      <c r="L24" s="76"/>
      <c r="M24" s="76"/>
      <c r="N24" s="76"/>
      <c r="O24" s="76"/>
    </row>
    <row r="25" spans="2:16" x14ac:dyDescent="0.25">
      <c r="B25" s="225"/>
      <c r="C25" s="92">
        <v>0.16666666666666666</v>
      </c>
      <c r="D25" s="93"/>
      <c r="E25" s="93"/>
      <c r="F25" s="94">
        <v>2</v>
      </c>
      <c r="J25" s="82"/>
      <c r="K25" s="76"/>
      <c r="L25" s="76"/>
      <c r="M25" s="76"/>
      <c r="N25" s="76"/>
      <c r="O25" s="76"/>
    </row>
    <row r="26" spans="2:16" x14ac:dyDescent="0.25">
      <c r="B26" s="225"/>
      <c r="C26" s="92">
        <v>0.20833333333333334</v>
      </c>
      <c r="D26" s="93"/>
      <c r="E26" s="93"/>
      <c r="F26" s="94">
        <v>2</v>
      </c>
    </row>
    <row r="27" spans="2:16" x14ac:dyDescent="0.25">
      <c r="B27" s="225"/>
      <c r="C27" s="92">
        <v>0.25</v>
      </c>
      <c r="D27" s="93"/>
      <c r="E27" s="93"/>
      <c r="F27" s="94">
        <v>2</v>
      </c>
    </row>
    <row r="28" spans="2:16" x14ac:dyDescent="0.25">
      <c r="B28" s="226"/>
      <c r="C28" s="95">
        <v>0.29166666666666669</v>
      </c>
      <c r="D28" s="96"/>
      <c r="E28" s="96"/>
      <c r="F28" s="97">
        <v>2</v>
      </c>
    </row>
    <row r="29" spans="2:16" ht="15.75" thickBot="1" x14ac:dyDescent="0.3">
      <c r="B29" s="76"/>
      <c r="C29" s="76"/>
    </row>
    <row r="30" spans="2:16" x14ac:dyDescent="0.25">
      <c r="B30" s="227" t="s">
        <v>87</v>
      </c>
      <c r="C30" s="228"/>
      <c r="D30" s="98">
        <f>SUM(D5:D28)</f>
        <v>18</v>
      </c>
      <c r="E30" s="98">
        <f>SUM(E5:E28)</f>
        <v>26</v>
      </c>
      <c r="F30" s="98">
        <f>SUM(F5:F28)</f>
        <v>22</v>
      </c>
      <c r="G30" s="99">
        <f>SUM(D30:F30)</f>
        <v>66</v>
      </c>
      <c r="P30" s="90"/>
    </row>
    <row r="31" spans="2:16" x14ac:dyDescent="0.25">
      <c r="B31" s="229" t="s">
        <v>88</v>
      </c>
      <c r="C31" s="223"/>
      <c r="D31" s="90">
        <f>D30*5</f>
        <v>90</v>
      </c>
      <c r="E31" s="90">
        <f>E30*2</f>
        <v>52</v>
      </c>
      <c r="F31" s="90">
        <f>F30*7</f>
        <v>154</v>
      </c>
      <c r="G31" s="101">
        <f t="shared" ref="G31:G34" si="0">SUM(D31:F31)</f>
        <v>296</v>
      </c>
      <c r="P31" s="19"/>
    </row>
    <row r="32" spans="2:16" x14ac:dyDescent="0.25">
      <c r="B32" s="229" t="s">
        <v>89</v>
      </c>
      <c r="C32" s="223"/>
      <c r="D32" s="90">
        <f>D31*52</f>
        <v>4680</v>
      </c>
      <c r="E32" s="90">
        <f>E31*52</f>
        <v>2704</v>
      </c>
      <c r="F32" s="90">
        <f>F31*52</f>
        <v>8008</v>
      </c>
      <c r="G32" s="101">
        <f t="shared" si="0"/>
        <v>15392</v>
      </c>
      <c r="P32" s="102"/>
    </row>
    <row r="33" spans="2:17" x14ac:dyDescent="0.25">
      <c r="B33" s="229" t="s">
        <v>90</v>
      </c>
      <c r="C33" s="223"/>
      <c r="D33" s="103">
        <f>D32/12</f>
        <v>390</v>
      </c>
      <c r="E33" s="103">
        <f>E32/12</f>
        <v>225.33333333333334</v>
      </c>
      <c r="F33" s="103">
        <f>F32/12</f>
        <v>667.33333333333337</v>
      </c>
      <c r="G33" s="104">
        <f t="shared" si="0"/>
        <v>1282.6666666666667</v>
      </c>
    </row>
    <row r="34" spans="2:17" ht="15.75" thickBot="1" x14ac:dyDescent="0.3">
      <c r="B34" s="230" t="s">
        <v>91</v>
      </c>
      <c r="C34" s="231"/>
      <c r="D34" s="105">
        <f>D32/2080</f>
        <v>2.25</v>
      </c>
      <c r="E34" s="105">
        <f>E32/2080</f>
        <v>1.3</v>
      </c>
      <c r="F34" s="105">
        <f>F32/2080</f>
        <v>3.85</v>
      </c>
      <c r="G34" s="106">
        <f t="shared" si="0"/>
        <v>7.4</v>
      </c>
    </row>
    <row r="35" spans="2:17" ht="15.75" thickBot="1" x14ac:dyDescent="0.3">
      <c r="B35" s="107"/>
      <c r="D35" s="102"/>
      <c r="E35" s="102"/>
      <c r="F35" s="102"/>
      <c r="G35" s="90"/>
      <c r="I35" s="108"/>
      <c r="P35" s="90"/>
      <c r="Q35" s="102"/>
    </row>
    <row r="36" spans="2:17" x14ac:dyDescent="0.25">
      <c r="B36" s="227" t="s">
        <v>92</v>
      </c>
      <c r="C36" s="228"/>
      <c r="D36" s="228"/>
      <c r="E36" s="228"/>
      <c r="F36" s="232"/>
    </row>
    <row r="37" spans="2:17" x14ac:dyDescent="0.25">
      <c r="B37" s="100" t="s">
        <v>93</v>
      </c>
      <c r="C37" s="109">
        <f>D33</f>
        <v>390</v>
      </c>
      <c r="D37" s="19"/>
      <c r="E37" s="19"/>
      <c r="F37" s="101"/>
    </row>
    <row r="38" spans="2:17" x14ac:dyDescent="0.25">
      <c r="B38" s="100" t="s">
        <v>31</v>
      </c>
      <c r="C38" s="110">
        <f>E33</f>
        <v>225.33333333333334</v>
      </c>
      <c r="D38" s="19"/>
      <c r="E38" s="19"/>
      <c r="F38" s="101"/>
    </row>
    <row r="39" spans="2:17" x14ac:dyDescent="0.25">
      <c r="B39" s="100" t="s">
        <v>94</v>
      </c>
      <c r="C39" s="109">
        <f>D33+E33</f>
        <v>615.33333333333337</v>
      </c>
      <c r="D39" s="90"/>
      <c r="E39" s="90" t="s">
        <v>95</v>
      </c>
      <c r="F39" s="111"/>
    </row>
    <row r="40" spans="2:17" x14ac:dyDescent="0.25">
      <c r="B40" s="112"/>
      <c r="F40" s="113"/>
    </row>
    <row r="41" spans="2:17" x14ac:dyDescent="0.25">
      <c r="B41" s="100" t="s">
        <v>96</v>
      </c>
      <c r="C41" s="109">
        <f>F33</f>
        <v>667.33333333333337</v>
      </c>
      <c r="D41" s="103"/>
      <c r="E41" s="103"/>
      <c r="F41" s="104"/>
    </row>
    <row r="42" spans="2:17" x14ac:dyDescent="0.25">
      <c r="B42" s="112"/>
      <c r="F42" s="101"/>
    </row>
    <row r="43" spans="2:17" ht="15.75" thickBot="1" x14ac:dyDescent="0.3">
      <c r="B43" s="114"/>
      <c r="C43" s="115"/>
      <c r="D43" s="115"/>
      <c r="E43" s="115"/>
      <c r="F43" s="116"/>
    </row>
    <row r="46" spans="2:17" x14ac:dyDescent="0.25">
      <c r="B46" s="223"/>
      <c r="C46" s="223"/>
      <c r="D46" s="223"/>
      <c r="E46" s="223"/>
      <c r="F46" s="223"/>
    </row>
    <row r="47" spans="2:17" x14ac:dyDescent="0.25">
      <c r="C47" s="19" t="s">
        <v>97</v>
      </c>
    </row>
    <row r="48" spans="2:17" x14ac:dyDescent="0.25">
      <c r="B48" t="s">
        <v>17</v>
      </c>
      <c r="C48" s="117">
        <f>'EPS Cost Assumptions'!B16/2080</f>
        <v>5.7692307692307696E-2</v>
      </c>
      <c r="E48" s="17"/>
      <c r="F48" s="17"/>
    </row>
    <row r="49" spans="2:6" x14ac:dyDescent="0.25">
      <c r="B49" t="s">
        <v>18</v>
      </c>
      <c r="C49" s="117">
        <f>'EPS Cost Assumptions'!B17/2080</f>
        <v>4.230769230769231E-2</v>
      </c>
      <c r="E49" s="17"/>
      <c r="F49" s="17"/>
    </row>
    <row r="50" spans="2:6" x14ac:dyDescent="0.25">
      <c r="B50" t="s">
        <v>19</v>
      </c>
      <c r="C50" s="117">
        <f>'EPS Cost Assumptions'!B18/2080</f>
        <v>1.9230769230769232E-2</v>
      </c>
      <c r="E50" s="17"/>
      <c r="F50" s="17"/>
    </row>
    <row r="52" spans="2:6" x14ac:dyDescent="0.25">
      <c r="E52" s="118"/>
    </row>
  </sheetData>
  <mergeCells count="13">
    <mergeCell ref="B1:F1"/>
    <mergeCell ref="B4:C4"/>
    <mergeCell ref="B5:B8"/>
    <mergeCell ref="B9:B17"/>
    <mergeCell ref="P14:S14"/>
    <mergeCell ref="B18:B28"/>
    <mergeCell ref="B46:F46"/>
    <mergeCell ref="B30:C30"/>
    <mergeCell ref="B31:C31"/>
    <mergeCell ref="B32:C32"/>
    <mergeCell ref="B33:C33"/>
    <mergeCell ref="B34:C34"/>
    <mergeCell ref="B36:F3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Fee Table</vt:lpstr>
      <vt:lpstr>Fair Wages</vt:lpstr>
      <vt:lpstr>EPS Cost Assumptions</vt:lpstr>
      <vt:lpstr>Summary</vt:lpstr>
      <vt:lpstr>Directcare Schedule</vt:lpstr>
      <vt:lpstr>Beds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Tim (DCYF)</dc:creator>
  <cp:lastModifiedBy>Dolgash, Debbie (DCYF)</cp:lastModifiedBy>
  <dcterms:created xsi:type="dcterms:W3CDTF">2024-04-09T17:39:20Z</dcterms:created>
  <dcterms:modified xsi:type="dcterms:W3CDTF">2024-06-28T16:35:20Z</dcterms:modified>
</cp:coreProperties>
</file>