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terdev\pdf\dcyf\"/>
    </mc:Choice>
  </mc:AlternateContent>
  <xr:revisionPtr revIDLastSave="0" documentId="8_{8B98B732-2838-495F-B35A-E3A95CBD946D}" xr6:coauthVersionLast="47" xr6:coauthVersionMax="47" xr10:uidLastSave="{00000000-0000-0000-0000-000000000000}"/>
  <bookViews>
    <workbookView xWindow="28680" yWindow="-120" windowWidth="29040" windowHeight="15840" xr2:uid="{727D69ED-0C7B-4737-8C16-DE0D1749878F}"/>
  </bookViews>
  <sheets>
    <sheet name="Fee Table " sheetId="1" r:id="rId1"/>
    <sheet name="Rate Assumption " sheetId="3" r:id="rId2"/>
    <sheet name="Per FTE cost" sheetId="4" r:id="rId3"/>
  </sheets>
  <externalReferences>
    <externalReference r:id="rId4"/>
    <externalReference r:id="rId5"/>
  </externalReferences>
  <definedNames>
    <definedName name="DATATYPEVal">[1]Validation!$C$2:$C$3</definedName>
    <definedName name="jobclassabrev">#REF!</definedName>
    <definedName name="list2" localSheetId="2">#REF!</definedName>
    <definedName name="list2" localSheetId="1">#REF!</definedName>
    <definedName name="list2">#REF!</definedName>
    <definedName name="list3" localSheetId="2">#REF!</definedName>
    <definedName name="list3" localSheetId="1">#REF!</definedName>
    <definedName name="list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C47" i="4"/>
  <c r="C44" i="4"/>
  <c r="N32" i="4"/>
  <c r="M32" i="4"/>
  <c r="L32" i="4"/>
  <c r="K32" i="4"/>
  <c r="N28" i="4"/>
  <c r="M28" i="4"/>
  <c r="L28" i="4"/>
  <c r="N25" i="4"/>
  <c r="M25" i="4"/>
  <c r="L25" i="4"/>
  <c r="K25" i="4"/>
  <c r="J25" i="4"/>
  <c r="I25" i="4"/>
  <c r="H25" i="4"/>
  <c r="G25" i="4"/>
  <c r="F25" i="4"/>
  <c r="E25" i="4"/>
  <c r="D25" i="4"/>
  <c r="C25" i="4"/>
  <c r="I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K28" i="4" s="1"/>
  <c r="J20" i="4"/>
  <c r="I20" i="4"/>
  <c r="I32" i="4" s="1"/>
  <c r="H20" i="4"/>
  <c r="H32" i="4" s="1"/>
  <c r="G20" i="4"/>
  <c r="G32" i="4" s="1"/>
  <c r="F20" i="4"/>
  <c r="F32" i="4" s="1"/>
  <c r="E20" i="4"/>
  <c r="D20" i="4"/>
  <c r="C20" i="4"/>
  <c r="C28" i="4" s="1"/>
  <c r="C8" i="4"/>
  <c r="C5" i="4"/>
  <c r="H22" i="4" s="1"/>
  <c r="C66" i="3"/>
  <c r="C64" i="3"/>
  <c r="C17" i="3"/>
  <c r="D16" i="3"/>
  <c r="D15" i="3"/>
  <c r="D14" i="3"/>
  <c r="G28" i="4" l="1"/>
  <c r="H28" i="4"/>
  <c r="I28" i="4"/>
  <c r="G22" i="4"/>
  <c r="C22" i="4"/>
  <c r="C10" i="4"/>
  <c r="C24" i="4" s="1"/>
  <c r="E22" i="4"/>
  <c r="D22" i="4"/>
  <c r="F22" i="4"/>
  <c r="D28" i="4"/>
  <c r="C32" i="4"/>
  <c r="J32" i="4"/>
  <c r="E28" i="4"/>
  <c r="D32" i="4"/>
  <c r="F28" i="4"/>
  <c r="E32" i="4"/>
  <c r="J22" i="4"/>
  <c r="K22" i="4"/>
  <c r="L22" i="4"/>
  <c r="N22" i="4"/>
  <c r="F24" i="4"/>
  <c r="J28" i="4"/>
  <c r="M22" i="4"/>
  <c r="C46" i="4" l="1"/>
  <c r="N24" i="4"/>
  <c r="J24" i="4"/>
  <c r="I24" i="4"/>
  <c r="L24" i="4"/>
  <c r="M24" i="4"/>
  <c r="C11" i="4"/>
  <c r="E24" i="4"/>
  <c r="D24" i="4"/>
  <c r="H24" i="4"/>
  <c r="F26" i="4"/>
  <c r="J26" i="4"/>
  <c r="E26" i="4"/>
  <c r="G24" i="4"/>
  <c r="K24" i="4"/>
  <c r="K26" i="4"/>
  <c r="N26" i="4"/>
  <c r="L26" i="4"/>
  <c r="M26" i="4"/>
  <c r="I26" i="4"/>
  <c r="C12" i="4"/>
  <c r="C38" i="4" s="1"/>
  <c r="D26" i="4" l="1"/>
  <c r="C26" i="4"/>
  <c r="G26" i="4"/>
  <c r="H26" i="4"/>
  <c r="N27" i="4"/>
  <c r="N58" i="4" s="1"/>
  <c r="M27" i="4"/>
  <c r="M58" i="4" s="1"/>
  <c r="L27" i="4"/>
  <c r="L58" i="4" s="1"/>
  <c r="K27" i="4"/>
  <c r="K30" i="4" s="1"/>
  <c r="K53" i="4" s="1"/>
  <c r="J27" i="4"/>
  <c r="I27" i="4"/>
  <c r="I30" i="4" s="1"/>
  <c r="I53" i="4" s="1"/>
  <c r="H27" i="4"/>
  <c r="G27" i="4"/>
  <c r="F27" i="4"/>
  <c r="E27" i="4"/>
  <c r="D27" i="4"/>
  <c r="C27" i="4"/>
  <c r="C36" i="4"/>
  <c r="C42" i="4"/>
  <c r="C37" i="4"/>
  <c r="C56" i="4"/>
  <c r="C40" i="4"/>
  <c r="C43" i="4"/>
  <c r="C41" i="4"/>
  <c r="C58" i="4" l="1"/>
  <c r="C30" i="4"/>
  <c r="C53" i="4" s="1"/>
  <c r="C49" i="4"/>
  <c r="C50" i="4" s="1"/>
  <c r="F30" i="4"/>
  <c r="F53" i="4" s="1"/>
  <c r="F58" i="4"/>
  <c r="L30" i="4"/>
  <c r="L53" i="4" s="1"/>
  <c r="D30" i="4"/>
  <c r="D53" i="4" s="1"/>
  <c r="D58" i="4"/>
  <c r="E30" i="4"/>
  <c r="E53" i="4" s="1"/>
  <c r="E58" i="4"/>
  <c r="G30" i="4"/>
  <c r="G53" i="4" s="1"/>
  <c r="G58" i="4"/>
  <c r="H58" i="4"/>
  <c r="H30" i="4"/>
  <c r="H53" i="4" s="1"/>
  <c r="J30" i="4"/>
  <c r="J53" i="4" s="1"/>
  <c r="J58" i="4"/>
  <c r="K58" i="4"/>
  <c r="I58" i="4"/>
  <c r="M30" i="4"/>
  <c r="M53" i="4" s="1"/>
  <c r="N30" i="4"/>
  <c r="N53" i="4" s="1"/>
  <c r="D56" i="4"/>
  <c r="D54" i="4" l="1"/>
  <c r="C54" i="4"/>
  <c r="C52" i="4"/>
  <c r="E56" i="4"/>
  <c r="E54" i="4" s="1"/>
  <c r="D52" i="4"/>
  <c r="D61" i="4" s="1"/>
  <c r="C63" i="4" l="1"/>
  <c r="C65" i="4" s="1"/>
  <c r="D63" i="4"/>
  <c r="D65" i="4" s="1"/>
  <c r="C61" i="4"/>
  <c r="F56" i="4"/>
  <c r="E52" i="4"/>
  <c r="E63" i="4" s="1"/>
  <c r="E65" i="4" s="1"/>
  <c r="G56" i="4" l="1"/>
  <c r="F52" i="4"/>
  <c r="F54" i="4"/>
  <c r="F63" i="4"/>
  <c r="F65" i="4" s="1"/>
  <c r="F61" i="4"/>
  <c r="E61" i="4"/>
  <c r="H56" i="4" l="1"/>
  <c r="G52" i="4"/>
  <c r="G54" i="4"/>
  <c r="G63" i="4" s="1"/>
  <c r="G65" i="4" s="1"/>
  <c r="G61" i="4" l="1"/>
  <c r="H52" i="4"/>
  <c r="H63" i="4" s="1"/>
  <c r="H65" i="4" s="1"/>
  <c r="I56" i="4"/>
  <c r="H54" i="4"/>
  <c r="H61" i="4" l="1"/>
  <c r="J56" i="4"/>
  <c r="I52" i="4"/>
  <c r="I54" i="4"/>
  <c r="I63" i="4" s="1"/>
  <c r="I65" i="4" s="1"/>
  <c r="I61" i="4" l="1"/>
  <c r="K56" i="4"/>
  <c r="J52" i="4"/>
  <c r="J54" i="4"/>
  <c r="J61" i="4" l="1"/>
  <c r="J63" i="4"/>
  <c r="J65" i="4" s="1"/>
  <c r="L56" i="4"/>
  <c r="K52" i="4"/>
  <c r="K54" i="4"/>
  <c r="K61" i="4" s="1"/>
  <c r="K63" i="4" l="1"/>
  <c r="K65" i="4" s="1"/>
  <c r="M56" i="4"/>
  <c r="L52" i="4"/>
  <c r="L54" i="4"/>
  <c r="L61" i="4" s="1"/>
  <c r="L63" i="4" l="1"/>
  <c r="L65" i="4" s="1"/>
  <c r="N56" i="4"/>
  <c r="M52" i="4"/>
  <c r="M61" i="4" s="1"/>
  <c r="M54" i="4"/>
  <c r="M63" i="4" l="1"/>
  <c r="M65" i="4" s="1"/>
  <c r="N52" i="4"/>
  <c r="N54" i="4"/>
  <c r="N63" i="4" s="1"/>
  <c r="N65" i="4" s="1"/>
  <c r="N61" i="4" l="1"/>
</calcChain>
</file>

<file path=xl/sharedStrings.xml><?xml version="1.0" encoding="utf-8"?>
<sst xmlns="http://schemas.openxmlformats.org/spreadsheetml/2006/main" count="226" uniqueCount="173">
  <si>
    <t>Chelan</t>
  </si>
  <si>
    <t xml:space="preserve">Central </t>
  </si>
  <si>
    <t>Douglas</t>
  </si>
  <si>
    <t>Grant</t>
  </si>
  <si>
    <t>Kittitas</t>
  </si>
  <si>
    <t>South Central</t>
  </si>
  <si>
    <t>Ferry</t>
  </si>
  <si>
    <t>Okanogan</t>
  </si>
  <si>
    <t>Lincoln</t>
  </si>
  <si>
    <t>Pend Oreille</t>
  </si>
  <si>
    <t>Spokane</t>
  </si>
  <si>
    <t>Stevens</t>
  </si>
  <si>
    <t>Island</t>
  </si>
  <si>
    <t>Northwest</t>
  </si>
  <si>
    <t>North-West</t>
  </si>
  <si>
    <t>San Juan</t>
  </si>
  <si>
    <t>Skagit</t>
  </si>
  <si>
    <t>Whatcom</t>
  </si>
  <si>
    <t>Clallam</t>
  </si>
  <si>
    <t>Olympic</t>
  </si>
  <si>
    <t>Jefferson</t>
  </si>
  <si>
    <t>Kitsap</t>
  </si>
  <si>
    <t>Grays Harbor</t>
  </si>
  <si>
    <t>Pacific Mountain</t>
  </si>
  <si>
    <t>Lewis</t>
  </si>
  <si>
    <t>Mason</t>
  </si>
  <si>
    <t>Pacific</t>
  </si>
  <si>
    <t>Thurston</t>
  </si>
  <si>
    <t>King</t>
  </si>
  <si>
    <t>Seattle-King</t>
  </si>
  <si>
    <t>Snohomish</t>
  </si>
  <si>
    <t>Klickitat</t>
  </si>
  <si>
    <t>South-Central</t>
  </si>
  <si>
    <t>Yakima</t>
  </si>
  <si>
    <t>Columbia</t>
  </si>
  <si>
    <t>South-East</t>
  </si>
  <si>
    <t>Franklin</t>
  </si>
  <si>
    <t>Garfield</t>
  </si>
  <si>
    <t>Walla Walla</t>
  </si>
  <si>
    <t>Whitman</t>
  </si>
  <si>
    <t>Adams</t>
  </si>
  <si>
    <t>Asotin</t>
  </si>
  <si>
    <t>Benton</t>
  </si>
  <si>
    <t>Clark</t>
  </si>
  <si>
    <t>Southwest</t>
  </si>
  <si>
    <t>South-West</t>
  </si>
  <si>
    <t>Cowlitz</t>
  </si>
  <si>
    <t>Skamania</t>
  </si>
  <si>
    <t>Wahkiakum</t>
  </si>
  <si>
    <t>Pierce</t>
  </si>
  <si>
    <t>Tacoma-Pierce</t>
  </si>
  <si>
    <t xml:space="preserve">CPA Contract </t>
  </si>
  <si>
    <t>Zone 1</t>
  </si>
  <si>
    <t>Zone 2</t>
  </si>
  <si>
    <t>Zone 3</t>
  </si>
  <si>
    <t>Zone 4</t>
  </si>
  <si>
    <t>Northeast</t>
  </si>
  <si>
    <t xml:space="preserve">North-Central </t>
  </si>
  <si>
    <t xml:space="preserve">Case Aide Hourly </t>
  </si>
  <si>
    <t>Support Services Lvl 1</t>
  </si>
  <si>
    <t>Support Services Lvl 2</t>
  </si>
  <si>
    <t>Support Services Lvl 3</t>
  </si>
  <si>
    <t>Support Services Lvl 4</t>
  </si>
  <si>
    <t>Support Services Lvl 5</t>
  </si>
  <si>
    <t>Support Services Lvl 6</t>
  </si>
  <si>
    <t>Support Services Lvl 7</t>
  </si>
  <si>
    <t>Authorized hours of Service Per month, per level, per child/youth</t>
  </si>
  <si>
    <t>County</t>
  </si>
  <si>
    <t>Zone</t>
  </si>
  <si>
    <t>Milage reimbursed at posted OFM rate</t>
  </si>
  <si>
    <t>Travel | Office of Financial Management (wa.gov)</t>
  </si>
  <si>
    <t>Child Placing Agency Fee Table</t>
  </si>
  <si>
    <t xml:space="preserve"> Effective Janyary 1, 2024 - 
</t>
  </si>
  <si>
    <t xml:space="preserve">Taxes </t>
  </si>
  <si>
    <t>Type of Taxes</t>
  </si>
  <si>
    <t>Yearly</t>
  </si>
  <si>
    <t xml:space="preserve">Federal </t>
  </si>
  <si>
    <t>Payroll Taxes</t>
  </si>
  <si>
    <t>Washington B&amp;O Tax</t>
  </si>
  <si>
    <t>Benefits and Training</t>
  </si>
  <si>
    <t>Type of Benefits</t>
  </si>
  <si>
    <t>Hours or Dollars (Yearly)</t>
  </si>
  <si>
    <t>% of 2080 Hrs. (Yearly)</t>
  </si>
  <si>
    <t>PTO - 120 hrs. yearly</t>
  </si>
  <si>
    <t>Holiday - 88 hrs. yearly</t>
  </si>
  <si>
    <t>Training - 40 hrs. yearly</t>
  </si>
  <si>
    <t>Staff Health Insurance per FTE per year</t>
  </si>
  <si>
    <t>Qualifications &amp; Standards</t>
  </si>
  <si>
    <t>Case Aide</t>
  </si>
  <si>
    <t>Case Aide - hours weekly supervision</t>
  </si>
  <si>
    <t>Support Manager</t>
  </si>
  <si>
    <t>Caseload Standards</t>
  </si>
  <si>
    <t>Support Manager Lvl 1</t>
  </si>
  <si>
    <t>Support Manager Lvl 2</t>
  </si>
  <si>
    <t>Support Manager Lvl 3</t>
  </si>
  <si>
    <t>Support Manager Lvl 4</t>
  </si>
  <si>
    <t>Support Manager Lvl 5</t>
  </si>
  <si>
    <t>Support Manager Lvl 6</t>
  </si>
  <si>
    <t>Support Manager Lvl 7</t>
  </si>
  <si>
    <t>Case Aide Lvl 3</t>
  </si>
  <si>
    <t>Case Aide Lvl 4</t>
  </si>
  <si>
    <t>Case Aide Lvl 5</t>
  </si>
  <si>
    <t>Case Aide Lvl 6</t>
  </si>
  <si>
    <t>Case Aide Lvl 7</t>
  </si>
  <si>
    <t>Ratio</t>
  </si>
  <si>
    <t>Notes</t>
  </si>
  <si>
    <t>Supervisor</t>
  </si>
  <si>
    <t>Staff to supervisor</t>
  </si>
  <si>
    <t>Program Managers</t>
  </si>
  <si>
    <t>Supervisors to Managers</t>
  </si>
  <si>
    <t>After Hours coverage</t>
  </si>
  <si>
    <t>Per FTE Per Case Manager</t>
  </si>
  <si>
    <t>CQI/PBC Managers</t>
  </si>
  <si>
    <t>Per Case Manager &amp; Case Aide FTE</t>
  </si>
  <si>
    <t>Executive/Dir</t>
  </si>
  <si>
    <t>Program Manager to Exec</t>
  </si>
  <si>
    <t>Administrative/data entry</t>
  </si>
  <si>
    <t>Workforce per FTE</t>
  </si>
  <si>
    <t>Services Delivery</t>
  </si>
  <si>
    <t xml:space="preserve">Semi-Annual In-Home Support Planning visit </t>
  </si>
  <si>
    <t>minutes - on avg</t>
  </si>
  <si>
    <t>meetings a year</t>
  </si>
  <si>
    <t xml:space="preserve">Overhead </t>
  </si>
  <si>
    <t xml:space="preserve">Office Space rent - avg </t>
  </si>
  <si>
    <t>100 sq. ft Per FTE - Avg cost</t>
  </si>
  <si>
    <t>Utilities (phone, electric, Internet)</t>
  </si>
  <si>
    <t>Per sq ft per month</t>
  </si>
  <si>
    <t>Office supplies/Tech/furniture/Janitorial</t>
  </si>
  <si>
    <t>Per FTE per month</t>
  </si>
  <si>
    <t>Bookkeeping  &amp; Payroll</t>
  </si>
  <si>
    <t>Insurance (property and liability)</t>
  </si>
  <si>
    <t>Per service delivery FTE per year</t>
  </si>
  <si>
    <t xml:space="preserve">HR &amp; Payroll </t>
  </si>
  <si>
    <t>per FTE per month</t>
  </si>
  <si>
    <t>Staff Equipment - Phones, Laptops, etc.</t>
  </si>
  <si>
    <t>Cloud storage and related software</t>
  </si>
  <si>
    <t>Per month cost</t>
  </si>
  <si>
    <t>Cost of staff attendance training(Coverage)</t>
  </si>
  <si>
    <t>Per FTE per Year</t>
  </si>
  <si>
    <t>Cost of Trainings (external trainings)</t>
  </si>
  <si>
    <t>Per Person Per year</t>
  </si>
  <si>
    <t>General Overhead - see notes</t>
  </si>
  <si>
    <t>See notes</t>
  </si>
  <si>
    <t>FTE</t>
  </si>
  <si>
    <t>Adminstrative/data entry</t>
  </si>
  <si>
    <r>
      <t>CQI/PBC -</t>
    </r>
    <r>
      <rPr>
        <sz val="8"/>
        <rFont val="Arial"/>
        <family val="2"/>
      </rPr>
      <t xml:space="preserve"> overhead calculations only</t>
    </r>
  </si>
  <si>
    <t xml:space="preserve">After Hours coverage </t>
  </si>
  <si>
    <t>North-East</t>
  </si>
  <si>
    <t>North-Central</t>
  </si>
  <si>
    <t>Per Year Wages</t>
  </si>
  <si>
    <t>CQI/PBC manager</t>
  </si>
  <si>
    <t xml:space="preserve">Staff Total </t>
  </si>
  <si>
    <t>Per Year Costs</t>
  </si>
  <si>
    <t>Cloud storage and realted software</t>
  </si>
  <si>
    <t xml:space="preserve">General Overhead </t>
  </si>
  <si>
    <t xml:space="preserve">Overhead Total </t>
  </si>
  <si>
    <t>Federal -  assumes 5% net revenue</t>
  </si>
  <si>
    <t>Health Care</t>
  </si>
  <si>
    <t>PTO &amp; Holliday</t>
  </si>
  <si>
    <t>Support Manager FTE Cost</t>
  </si>
  <si>
    <t>Case Aide FTE cost</t>
  </si>
  <si>
    <t>Caseload Calculator</t>
  </si>
  <si>
    <t xml:space="preserve">Level </t>
  </si>
  <si>
    <t>Case Load standard</t>
  </si>
  <si>
    <t>Number Of Cases</t>
  </si>
  <si>
    <t>Lvl 1</t>
  </si>
  <si>
    <t>Lvl 2</t>
  </si>
  <si>
    <t>Lvl 3</t>
  </si>
  <si>
    <t>Lvl 4</t>
  </si>
  <si>
    <t>Lvl 5</t>
  </si>
  <si>
    <t>Lvl 6</t>
  </si>
  <si>
    <t>Lvl 7</t>
  </si>
  <si>
    <t>Uncommitted Hours Weekly, available for non-case management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</si>
</sst>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.000"/>
    <numFmt numFmtId="169" formatCode="#,##0.0_);[Red]\(#,##0.0\)"/>
    <numFmt numFmtId="170" formatCode="#,##0.0"/>
    <numFmt numFmtId="171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17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2"/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10" fontId="0" fillId="4" borderId="0" xfId="1" applyNumberFormat="1" applyFont="1" applyFill="1" applyBorder="1" applyAlignment="1">
      <alignment horizontal="center"/>
    </xf>
    <xf numFmtId="10" fontId="0" fillId="5" borderId="0" xfId="1" applyNumberFormat="1" applyFont="1" applyFill="1" applyBorder="1" applyAlignment="1">
      <alignment horizontal="center"/>
    </xf>
    <xf numFmtId="10" fontId="0" fillId="6" borderId="0" xfId="1" applyNumberFormat="1" applyFont="1" applyFill="1" applyBorder="1" applyAlignment="1">
      <alignment horizontal="center"/>
    </xf>
    <xf numFmtId="0" fontId="1" fillId="2" borderId="9" xfId="2" applyFill="1" applyBorder="1"/>
    <xf numFmtId="0" fontId="2" fillId="0" borderId="0" xfId="0" applyFont="1" applyAlignment="1">
      <alignment horizontal="center"/>
    </xf>
    <xf numFmtId="0" fontId="2" fillId="0" borderId="5" xfId="0" applyFont="1" applyBorder="1"/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/>
    <xf numFmtId="164" fontId="0" fillId="0" borderId="6" xfId="0" applyNumberFormat="1" applyBorder="1"/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10" xfId="0" applyBorder="1"/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0" xfId="0" applyAlignment="1">
      <alignment wrapText="1"/>
    </xf>
    <xf numFmtId="38" fontId="1" fillId="7" borderId="0" xfId="3" applyNumberFormat="1" applyFill="1" applyAlignment="1">
      <alignment horizontal="center"/>
    </xf>
    <xf numFmtId="0" fontId="1" fillId="0" borderId="1" xfId="2" applyBorder="1"/>
    <xf numFmtId="0" fontId="0" fillId="0" borderId="3" xfId="0" applyBorder="1"/>
    <xf numFmtId="10" fontId="0" fillId="6" borderId="3" xfId="1" applyNumberFormat="1" applyFont="1" applyFill="1" applyBorder="1" applyAlignment="1">
      <alignment horizontal="center"/>
    </xf>
    <xf numFmtId="0" fontId="0" fillId="0" borderId="4" xfId="0" applyBorder="1"/>
    <xf numFmtId="10" fontId="0" fillId="4" borderId="11" xfId="1" applyNumberFormat="1" applyFont="1" applyFill="1" applyBorder="1" applyAlignment="1">
      <alignment horizontal="center"/>
    </xf>
    <xf numFmtId="10" fontId="0" fillId="5" borderId="11" xfId="1" applyNumberFormat="1" applyFont="1" applyFill="1" applyBorder="1" applyAlignment="1">
      <alignment horizontal="center"/>
    </xf>
    <xf numFmtId="10" fontId="0" fillId="6" borderId="13" xfId="1" applyNumberFormat="1" applyFont="1" applyFill="1" applyBorder="1" applyAlignment="1">
      <alignment horizontal="center"/>
    </xf>
    <xf numFmtId="0" fontId="1" fillId="2" borderId="12" xfId="2" applyFill="1" applyBorder="1"/>
    <xf numFmtId="0" fontId="1" fillId="0" borderId="14" xfId="2" applyBorder="1"/>
    <xf numFmtId="0" fontId="1" fillId="0" borderId="15" xfId="2" applyBorder="1"/>
    <xf numFmtId="0" fontId="0" fillId="0" borderId="11" xfId="0" applyBorder="1"/>
    <xf numFmtId="49" fontId="1" fillId="0" borderId="16" xfId="2" applyNumberFormat="1" applyBorder="1"/>
    <xf numFmtId="0" fontId="0" fillId="0" borderId="12" xfId="0" applyBorder="1"/>
    <xf numFmtId="0" fontId="7" fillId="0" borderId="0" xfId="4"/>
    <xf numFmtId="0" fontId="0" fillId="0" borderId="0" xfId="0" applyAlignment="1">
      <alignment horizontal="left"/>
    </xf>
    <xf numFmtId="0" fontId="2" fillId="0" borderId="0" xfId="0" applyFont="1"/>
    <xf numFmtId="0" fontId="2" fillId="0" borderId="0" xfId="6"/>
    <xf numFmtId="0" fontId="11" fillId="0" borderId="0" xfId="6" applyFont="1" applyAlignment="1">
      <alignment horizontal="center" vertical="center" wrapText="1"/>
    </xf>
    <xf numFmtId="0" fontId="4" fillId="0" borderId="0" xfId="6" applyFont="1"/>
    <xf numFmtId="0" fontId="2" fillId="0" borderId="0" xfId="6" applyAlignment="1">
      <alignment horizontal="center"/>
    </xf>
    <xf numFmtId="0" fontId="12" fillId="9" borderId="19" xfId="6" applyFont="1" applyFill="1" applyBorder="1" applyAlignment="1">
      <alignment horizontal="center"/>
    </xf>
    <xf numFmtId="0" fontId="12" fillId="0" borderId="19" xfId="6" applyFont="1" applyBorder="1" applyAlignment="1">
      <alignment horizontal="center"/>
    </xf>
    <xf numFmtId="0" fontId="2" fillId="0" borderId="19" xfId="6" applyBorder="1"/>
    <xf numFmtId="9" fontId="0" fillId="0" borderId="19" xfId="7" applyFont="1" applyFill="1" applyBorder="1"/>
    <xf numFmtId="166" fontId="0" fillId="0" borderId="19" xfId="7" applyNumberFormat="1" applyFont="1" applyFill="1" applyBorder="1"/>
    <xf numFmtId="166" fontId="0" fillId="0" borderId="0" xfId="7" applyNumberFormat="1" applyFont="1" applyFill="1" applyBorder="1"/>
    <xf numFmtId="0" fontId="5" fillId="0" borderId="0" xfId="6" applyFont="1" applyAlignment="1">
      <alignment horizontal="center"/>
    </xf>
    <xf numFmtId="0" fontId="12" fillId="0" borderId="19" xfId="6" applyFont="1" applyBorder="1" applyAlignment="1">
      <alignment horizontal="center" wrapText="1"/>
    </xf>
    <xf numFmtId="0" fontId="2" fillId="10" borderId="19" xfId="6" applyFill="1" applyBorder="1" applyAlignment="1">
      <alignment horizontal="center"/>
    </xf>
    <xf numFmtId="9" fontId="0" fillId="0" borderId="19" xfId="7" applyFont="1" applyBorder="1" applyAlignment="1">
      <alignment horizontal="center"/>
    </xf>
    <xf numFmtId="7" fontId="2" fillId="0" borderId="0" xfId="6" applyNumberFormat="1"/>
    <xf numFmtId="6" fontId="2" fillId="10" borderId="19" xfId="6" applyNumberFormat="1" applyFill="1" applyBorder="1" applyAlignment="1">
      <alignment horizontal="center"/>
    </xf>
    <xf numFmtId="0" fontId="2" fillId="11" borderId="19" xfId="6" applyFill="1" applyBorder="1"/>
    <xf numFmtId="5" fontId="2" fillId="0" borderId="0" xfId="8" applyNumberFormat="1" applyFont="1" applyFill="1" applyBorder="1" applyAlignment="1">
      <alignment horizontal="center"/>
    </xf>
    <xf numFmtId="0" fontId="4" fillId="0" borderId="8" xfId="6" applyFont="1" applyBorder="1"/>
    <xf numFmtId="0" fontId="13" fillId="9" borderId="20" xfId="6" applyFont="1" applyFill="1" applyBorder="1" applyAlignment="1">
      <alignment wrapText="1"/>
    </xf>
    <xf numFmtId="0" fontId="13" fillId="9" borderId="21" xfId="6" applyFont="1" applyFill="1" applyBorder="1" applyAlignment="1">
      <alignment wrapText="1"/>
    </xf>
    <xf numFmtId="167" fontId="2" fillId="0" borderId="19" xfId="6" applyNumberFormat="1" applyBorder="1" applyAlignment="1">
      <alignment horizontal="left"/>
    </xf>
    <xf numFmtId="0" fontId="2" fillId="0" borderId="19" xfId="6" applyBorder="1" applyAlignment="1">
      <alignment horizontal="center"/>
    </xf>
    <xf numFmtId="166" fontId="1" fillId="0" borderId="0" xfId="7" applyNumberFormat="1" applyFont="1" applyAlignment="1">
      <alignment horizontal="center"/>
    </xf>
    <xf numFmtId="168" fontId="2" fillId="0" borderId="0" xfId="6" applyNumberFormat="1"/>
    <xf numFmtId="0" fontId="2" fillId="12" borderId="19" xfId="6" applyFill="1" applyBorder="1" applyAlignment="1">
      <alignment horizontal="center"/>
    </xf>
    <xf numFmtId="166" fontId="0" fillId="0" borderId="0" xfId="7" applyNumberFormat="1" applyFont="1" applyAlignment="1">
      <alignment horizontal="center"/>
    </xf>
    <xf numFmtId="167" fontId="2" fillId="0" borderId="22" xfId="6" applyNumberFormat="1" applyBorder="1" applyAlignment="1">
      <alignment horizontal="left"/>
    </xf>
    <xf numFmtId="169" fontId="2" fillId="0" borderId="0" xfId="6" applyNumberFormat="1" applyAlignment="1">
      <alignment horizontal="center"/>
    </xf>
    <xf numFmtId="0" fontId="2" fillId="0" borderId="23" xfId="6" applyBorder="1"/>
    <xf numFmtId="0" fontId="5" fillId="9" borderId="24" xfId="6" applyFont="1" applyFill="1" applyBorder="1" applyAlignment="1">
      <alignment horizontal="center" wrapText="1"/>
    </xf>
    <xf numFmtId="0" fontId="5" fillId="9" borderId="25" xfId="6" applyFont="1" applyFill="1" applyBorder="1" applyAlignment="1">
      <alignment horizontal="center" wrapText="1"/>
    </xf>
    <xf numFmtId="167" fontId="2" fillId="0" borderId="18" xfId="6" applyNumberFormat="1" applyBorder="1" applyAlignment="1">
      <alignment horizontal="left"/>
    </xf>
    <xf numFmtId="37" fontId="0" fillId="0" borderId="0" xfId="8" applyNumberFormat="1" applyFont="1" applyFill="1" applyBorder="1" applyAlignment="1">
      <alignment horizontal="center"/>
    </xf>
    <xf numFmtId="0" fontId="2" fillId="0" borderId="26" xfId="6" applyBorder="1"/>
    <xf numFmtId="2" fontId="2" fillId="0" borderId="0" xfId="6" applyNumberFormat="1" applyAlignment="1">
      <alignment horizontal="center"/>
    </xf>
    <xf numFmtId="39" fontId="0" fillId="0" borderId="0" xfId="8" applyNumberFormat="1" applyFont="1" applyFill="1" applyBorder="1" applyAlignment="1">
      <alignment horizontal="center"/>
    </xf>
    <xf numFmtId="170" fontId="2" fillId="0" borderId="0" xfId="6" applyNumberFormat="1" applyAlignment="1">
      <alignment horizontal="center"/>
    </xf>
    <xf numFmtId="167" fontId="2" fillId="0" borderId="27" xfId="6" applyNumberFormat="1" applyBorder="1" applyAlignment="1">
      <alignment horizontal="left"/>
    </xf>
    <xf numFmtId="37" fontId="0" fillId="0" borderId="8" xfId="8" applyNumberFormat="1" applyFont="1" applyFill="1" applyBorder="1" applyAlignment="1">
      <alignment horizontal="center"/>
    </xf>
    <xf numFmtId="167" fontId="2" fillId="0" borderId="28" xfId="6" applyNumberFormat="1" applyBorder="1" applyAlignment="1">
      <alignment horizontal="left"/>
    </xf>
    <xf numFmtId="0" fontId="3" fillId="0" borderId="0" xfId="6" applyFont="1"/>
    <xf numFmtId="167" fontId="2" fillId="0" borderId="0" xfId="6" applyNumberFormat="1" applyAlignment="1">
      <alignment horizontal="left"/>
    </xf>
    <xf numFmtId="8" fontId="2" fillId="0" borderId="0" xfId="6" applyNumberFormat="1"/>
    <xf numFmtId="0" fontId="2" fillId="0" borderId="29" xfId="6" applyBorder="1" applyAlignment="1">
      <alignment horizontal="left" wrapText="1"/>
    </xf>
    <xf numFmtId="8" fontId="2" fillId="0" borderId="30" xfId="6" applyNumberFormat="1" applyBorder="1" applyAlignment="1">
      <alignment horizontal="center"/>
    </xf>
    <xf numFmtId="0" fontId="2" fillId="0" borderId="31" xfId="6" applyBorder="1"/>
    <xf numFmtId="0" fontId="2" fillId="0" borderId="32" xfId="6" applyBorder="1" applyAlignment="1">
      <alignment horizontal="left" wrapText="1"/>
    </xf>
    <xf numFmtId="8" fontId="2" fillId="0" borderId="22" xfId="6" applyNumberFormat="1" applyBorder="1" applyAlignment="1">
      <alignment horizontal="center"/>
    </xf>
    <xf numFmtId="0" fontId="2" fillId="0" borderId="33" xfId="6" applyBorder="1"/>
    <xf numFmtId="6" fontId="2" fillId="0" borderId="22" xfId="6" applyNumberFormat="1" applyBorder="1" applyAlignment="1">
      <alignment horizontal="center"/>
    </xf>
    <xf numFmtId="6" fontId="2" fillId="0" borderId="19" xfId="6" applyNumberFormat="1" applyBorder="1" applyAlignment="1">
      <alignment horizontal="center"/>
    </xf>
    <xf numFmtId="0" fontId="2" fillId="0" borderId="34" xfId="6" applyBorder="1"/>
    <xf numFmtId="0" fontId="2" fillId="0" borderId="32" xfId="6" applyBorder="1"/>
    <xf numFmtId="0" fontId="2" fillId="0" borderId="34" xfId="6" applyBorder="1" applyAlignment="1">
      <alignment wrapText="1"/>
    </xf>
    <xf numFmtId="0" fontId="2" fillId="0" borderId="32" xfId="6" applyBorder="1" applyAlignment="1">
      <alignment horizontal="left"/>
    </xf>
    <xf numFmtId="0" fontId="2" fillId="0" borderId="32" xfId="6" applyBorder="1" applyAlignment="1">
      <alignment wrapText="1"/>
    </xf>
    <xf numFmtId="9" fontId="0" fillId="0" borderId="19" xfId="9" applyFont="1" applyFill="1" applyBorder="1" applyAlignment="1">
      <alignment horizontal="center"/>
    </xf>
    <xf numFmtId="0" fontId="2" fillId="0" borderId="35" xfId="6" applyBorder="1"/>
    <xf numFmtId="6" fontId="2" fillId="0" borderId="36" xfId="6" applyNumberFormat="1" applyBorder="1" applyAlignment="1">
      <alignment horizontal="center"/>
    </xf>
    <xf numFmtId="0" fontId="2" fillId="0" borderId="37" xfId="6" applyBorder="1"/>
    <xf numFmtId="0" fontId="2" fillId="0" borderId="38" xfId="6" applyBorder="1"/>
    <xf numFmtId="9" fontId="2" fillId="0" borderId="39" xfId="6" applyNumberFormat="1" applyBorder="1" applyAlignment="1">
      <alignment horizontal="center"/>
    </xf>
    <xf numFmtId="6" fontId="2" fillId="0" borderId="40" xfId="6" applyNumberFormat="1" applyBorder="1" applyAlignment="1">
      <alignment horizontal="left"/>
    </xf>
    <xf numFmtId="171" fontId="2" fillId="0" borderId="0" xfId="6" applyNumberFormat="1" applyAlignment="1">
      <alignment horizontal="center"/>
    </xf>
    <xf numFmtId="168" fontId="2" fillId="0" borderId="0" xfId="6" applyNumberFormat="1" applyAlignment="1">
      <alignment horizontal="center"/>
    </xf>
    <xf numFmtId="10" fontId="0" fillId="4" borderId="0" xfId="7" applyNumberFormat="1" applyFont="1" applyFill="1" applyAlignment="1">
      <alignment horizontal="center"/>
    </xf>
    <xf numFmtId="10" fontId="0" fillId="5" borderId="0" xfId="7" applyNumberFormat="1" applyFont="1" applyFill="1" applyAlignment="1">
      <alignment horizontal="center"/>
    </xf>
    <xf numFmtId="10" fontId="0" fillId="6" borderId="0" xfId="7" applyNumberFormat="1" applyFont="1" applyFill="1" applyAlignment="1">
      <alignment horizontal="center"/>
    </xf>
    <xf numFmtId="0" fontId="1" fillId="2" borderId="41" xfId="2" applyFill="1" applyBorder="1"/>
    <xf numFmtId="0" fontId="15" fillId="0" borderId="0" xfId="6" applyFont="1" applyAlignment="1">
      <alignment horizontal="center" vertical="center" wrapText="1"/>
    </xf>
    <xf numFmtId="0" fontId="3" fillId="13" borderId="0" xfId="6" applyFont="1" applyFill="1"/>
    <xf numFmtId="167" fontId="2" fillId="0" borderId="20" xfId="6" applyNumberFormat="1" applyBorder="1" applyAlignment="1">
      <alignment horizontal="left"/>
    </xf>
    <xf numFmtId="164" fontId="2" fillId="0" borderId="0" xfId="6" applyNumberFormat="1" applyAlignment="1">
      <alignment horizontal="center"/>
    </xf>
    <xf numFmtId="164" fontId="2" fillId="0" borderId="0" xfId="6" applyNumberFormat="1"/>
    <xf numFmtId="167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center"/>
    </xf>
    <xf numFmtId="165" fontId="2" fillId="0" borderId="0" xfId="6" applyNumberFormat="1" applyAlignment="1">
      <alignment horizontal="center"/>
    </xf>
    <xf numFmtId="9" fontId="0" fillId="0" borderId="0" xfId="7" applyFont="1"/>
    <xf numFmtId="0" fontId="16" fillId="0" borderId="20" xfId="6" applyFont="1" applyBorder="1" applyAlignment="1">
      <alignment horizontal="right" indent="1"/>
    </xf>
    <xf numFmtId="6" fontId="2" fillId="14" borderId="42" xfId="6" applyNumberFormat="1" applyFill="1" applyBorder="1" applyAlignment="1">
      <alignment horizontal="center"/>
    </xf>
    <xf numFmtId="8" fontId="2" fillId="0" borderId="0" xfId="6" applyNumberFormat="1" applyAlignment="1">
      <alignment horizontal="center"/>
    </xf>
    <xf numFmtId="6" fontId="2" fillId="0" borderId="0" xfId="6" applyNumberFormat="1" applyAlignment="1">
      <alignment horizontal="center"/>
    </xf>
    <xf numFmtId="0" fontId="2" fillId="0" borderId="0" xfId="6" applyAlignment="1">
      <alignment horizontal="right"/>
    </xf>
    <xf numFmtId="165" fontId="2" fillId="0" borderId="0" xfId="6" applyNumberForma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6" xfId="2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4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8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0" fillId="0" borderId="0" xfId="0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17" xfId="5" applyAlignment="1">
      <alignment horizontal="center"/>
    </xf>
    <xf numFmtId="0" fontId="4" fillId="0" borderId="18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167" fontId="5" fillId="0" borderId="20" xfId="6" applyNumberFormat="1" applyFont="1" applyBorder="1" applyAlignment="1">
      <alignment horizontal="center" wrapText="1"/>
    </xf>
    <xf numFmtId="167" fontId="5" fillId="0" borderId="21" xfId="6" applyNumberFormat="1" applyFont="1" applyBorder="1" applyAlignment="1">
      <alignment horizontal="center" wrapText="1"/>
    </xf>
    <xf numFmtId="0" fontId="3" fillId="13" borderId="0" xfId="6" applyFont="1" applyFill="1" applyAlignment="1">
      <alignment horizontal="center"/>
    </xf>
  </cellXfs>
  <cellStyles count="10">
    <cellStyle name="Currency 2" xfId="8" xr:uid="{407089FC-01A4-42E2-ACBE-B9A53490C1BE}"/>
    <cellStyle name="Heading 1" xfId="5" builtinId="16"/>
    <cellStyle name="Hyperlink" xfId="4" builtinId="8"/>
    <cellStyle name="Normal" xfId="0" builtinId="0"/>
    <cellStyle name="Normal 16" xfId="3" xr:uid="{6F9B50FD-586D-4162-B85A-21B1D7B3C5BF}"/>
    <cellStyle name="Normal 19" xfId="2" xr:uid="{DC0B5F88-2220-4227-8005-4759F7BD775C}"/>
    <cellStyle name="Normal 2" xfId="6" xr:uid="{D87B2A9A-24A8-4BA4-B687-7737212DC272}"/>
    <cellStyle name="Percent" xfId="1" builtinId="5"/>
    <cellStyle name="Percent 2" xfId="7" xr:uid="{FA3E853F-7700-4461-BC0D-54495930FEF2}"/>
    <cellStyle name="Percent 6 2" xfId="9" xr:uid="{F274655C-39D7-445D-BA2D-DECCA84E18B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elinsider.ssv.wa.lcl/Users/john.rich/Downloads/Import%20Templat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timothy_kelly_dcyf_wa_gov/Documents/Rate%20models%20and%20implementation/Implementation%20Models%20and%20Projects/caregiver/Caregiver%20rate%20model%20and%20catchment.xlsm" TargetMode="External"/><Relationship Id="rId1" Type="http://schemas.openxmlformats.org/officeDocument/2006/relationships/externalLinkPath" Target="https://stateofwa-my.sharepoint.com/personal/timothy_kelly_dcyf_wa_gov/Documents/Rate%20models%20and%20implementation/Implementation%20Models%20and%20Projects/caregiver/Caregiver%20rate%20model%20and%20catchm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alidation"/>
      <sheetName val="ImportData"/>
      <sheetName val="Parameters"/>
    </sheetNames>
    <sheetDataSet>
      <sheetData sheetId="0"/>
      <sheetData sheetId="1">
        <row r="2">
          <cell r="A2" t="str">
            <v>ML</v>
          </cell>
          <cell r="C2" t="str">
            <v>FD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"/>
      <sheetName val="Rate Assumption "/>
      <sheetName val="Per FTE cost"/>
      <sheetName val="Rate Summary"/>
      <sheetName val="Rate Summary_Charles Wang 08.14"/>
      <sheetName val="SOW"/>
      <sheetName val="ref Catchment"/>
      <sheetName val="phase in - proivder"/>
      <sheetName val="pi-spend"/>
      <sheetName val="Case aid load"/>
      <sheetName val="Regionalized Costs"/>
      <sheetName val="Regionalized Costs (2)"/>
      <sheetName val="Catchment"/>
      <sheetName val="Placement Data"/>
      <sheetName val="Sheet22"/>
      <sheetName val="WFDA placemetns"/>
      <sheetName val="caseaide use"/>
      <sheetName val="on-call"/>
      <sheetName val="CPA useage"/>
      <sheetName val="RP01 Relative Versus Non-Relati"/>
      <sheetName val="Sheet5"/>
      <sheetName val="CPA.2"/>
      <sheetName val="FP rate"/>
      <sheetName val="follow up"/>
      <sheetName val="follo up data"/>
      <sheetName val="new levels"/>
      <sheetName val="KingCounty_Placement_wZone_Iden"/>
      <sheetName val="Combined King Pierce lookup"/>
      <sheetName val="case aid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B15" t="str">
            <v>North-East</v>
          </cell>
          <cell r="C15">
            <v>58266.666666666664</v>
          </cell>
          <cell r="D15">
            <v>45900</v>
          </cell>
          <cell r="E15">
            <v>48133.333333333336</v>
          </cell>
          <cell r="F15">
            <v>67006.666666666657</v>
          </cell>
          <cell r="G15">
            <v>77057.666666666657</v>
          </cell>
        </row>
        <row r="16">
          <cell r="B16" t="str">
            <v>South-Central</v>
          </cell>
          <cell r="C16">
            <v>58266.666666666664</v>
          </cell>
          <cell r="D16">
            <v>45900</v>
          </cell>
          <cell r="E16">
            <v>48133.333333333336</v>
          </cell>
          <cell r="F16">
            <v>67006.666666666657</v>
          </cell>
          <cell r="G16">
            <v>77057.666666666657</v>
          </cell>
        </row>
        <row r="17">
          <cell r="B17" t="str">
            <v>Pacific Mountain</v>
          </cell>
          <cell r="C17">
            <v>63366.666666666664</v>
          </cell>
          <cell r="D17">
            <v>46933.333333333336</v>
          </cell>
          <cell r="E17">
            <v>50500</v>
          </cell>
          <cell r="F17">
            <v>72871.666666666657</v>
          </cell>
          <cell r="G17">
            <v>83802.416666666657</v>
          </cell>
        </row>
        <row r="18">
          <cell r="B18" t="str">
            <v>South-East</v>
          </cell>
          <cell r="C18">
            <v>63366.666666666664</v>
          </cell>
          <cell r="D18">
            <v>46933.333333333336</v>
          </cell>
          <cell r="E18">
            <v>50500</v>
          </cell>
          <cell r="F18">
            <v>72871.666666666657</v>
          </cell>
          <cell r="G18">
            <v>83802.416666666657</v>
          </cell>
        </row>
        <row r="19">
          <cell r="B19" t="str">
            <v>North-Central</v>
          </cell>
          <cell r="C19">
            <v>63366.666666666664</v>
          </cell>
          <cell r="D19">
            <v>46933.333333333336</v>
          </cell>
          <cell r="E19">
            <v>50500</v>
          </cell>
          <cell r="F19">
            <v>72871.666666666657</v>
          </cell>
          <cell r="G19">
            <v>83802.416666666657</v>
          </cell>
        </row>
        <row r="20">
          <cell r="B20" t="str">
            <v xml:space="preserve">Central </v>
          </cell>
          <cell r="C20">
            <v>63366.666666666664</v>
          </cell>
          <cell r="D20">
            <v>46933.333333333336</v>
          </cell>
          <cell r="E20">
            <v>50500</v>
          </cell>
          <cell r="F20">
            <v>72871.666666666657</v>
          </cell>
          <cell r="G20">
            <v>83802.416666666657</v>
          </cell>
        </row>
        <row r="21">
          <cell r="B21" t="str">
            <v>South-West</v>
          </cell>
          <cell r="C21">
            <v>60260</v>
          </cell>
          <cell r="D21">
            <v>46540</v>
          </cell>
          <cell r="E21">
            <v>49080</v>
          </cell>
          <cell r="F21">
            <v>69299</v>
          </cell>
          <cell r="G21">
            <v>79693.850000000006</v>
          </cell>
        </row>
        <row r="22">
          <cell r="B22" t="str">
            <v>Olympic</v>
          </cell>
          <cell r="C22">
            <v>60260</v>
          </cell>
          <cell r="D22">
            <v>46540</v>
          </cell>
          <cell r="E22">
            <v>49080</v>
          </cell>
          <cell r="F22">
            <v>69299</v>
          </cell>
          <cell r="G22">
            <v>79693.850000000006</v>
          </cell>
        </row>
        <row r="23">
          <cell r="B23" t="str">
            <v>Tacoma-Pierce</v>
          </cell>
          <cell r="C23">
            <v>60260</v>
          </cell>
          <cell r="D23">
            <v>46540</v>
          </cell>
          <cell r="E23">
            <v>49080</v>
          </cell>
          <cell r="F23">
            <v>69299</v>
          </cell>
          <cell r="G23">
            <v>79693.850000000006</v>
          </cell>
        </row>
        <row r="24">
          <cell r="B24" t="str">
            <v>Snohomish</v>
          </cell>
          <cell r="C24">
            <v>60260</v>
          </cell>
          <cell r="D24">
            <v>46540</v>
          </cell>
          <cell r="E24">
            <v>49080</v>
          </cell>
          <cell r="F24">
            <v>69299</v>
          </cell>
          <cell r="G24">
            <v>79693.850000000006</v>
          </cell>
        </row>
        <row r="25">
          <cell r="B25" t="str">
            <v>North-West</v>
          </cell>
          <cell r="C25">
            <v>60260</v>
          </cell>
          <cell r="D25">
            <v>46540</v>
          </cell>
          <cell r="E25">
            <v>49080</v>
          </cell>
          <cell r="F25">
            <v>69299</v>
          </cell>
          <cell r="G25">
            <v>79693.850000000006</v>
          </cell>
        </row>
        <row r="26">
          <cell r="B26" t="str">
            <v>Seattle-King</v>
          </cell>
          <cell r="C26">
            <v>68300</v>
          </cell>
          <cell r="D26">
            <v>53000</v>
          </cell>
          <cell r="E26">
            <v>53600</v>
          </cell>
          <cell r="F26">
            <v>78545</v>
          </cell>
          <cell r="G26">
            <v>90326.75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accounting/administrative-accounting-resources/trave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BBDE-7081-46F1-86E8-F905E59E5799}">
  <dimension ref="A2:N92"/>
  <sheetViews>
    <sheetView tabSelected="1" topLeftCell="A6" workbookViewId="0">
      <selection activeCell="E55" sqref="E55"/>
    </sheetView>
  </sheetViews>
  <sheetFormatPr defaultRowHeight="14.5" x14ac:dyDescent="0.35"/>
  <cols>
    <col min="2" max="2" width="22.26953125" customWidth="1"/>
    <col min="3" max="3" width="13.7265625" customWidth="1"/>
    <col min="4" max="4" width="23.7265625" customWidth="1"/>
    <col min="5" max="5" width="16" customWidth="1"/>
    <col min="6" max="6" width="19.26953125" customWidth="1"/>
    <col min="7" max="7" width="15.54296875" customWidth="1"/>
    <col min="8" max="8" width="15.1796875" customWidth="1"/>
    <col min="9" max="9" width="17.54296875" customWidth="1"/>
    <col min="10" max="10" width="15.26953125" customWidth="1"/>
    <col min="11" max="11" width="14.453125" customWidth="1"/>
    <col min="12" max="12" width="16.453125" customWidth="1"/>
    <col min="13" max="13" width="18.54296875" customWidth="1"/>
    <col min="14" max="14" width="14.453125" customWidth="1"/>
  </cols>
  <sheetData>
    <row r="2" spans="1:14" ht="34.5" customHeight="1" x14ac:dyDescent="0.55000000000000004">
      <c r="A2" s="135" t="s">
        <v>71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50.25" customHeight="1" x14ac:dyDescent="0.55000000000000004">
      <c r="A3" s="136" t="s">
        <v>72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6" spans="1:14" ht="15" thickBot="1" x14ac:dyDescent="0.4"/>
    <row r="7" spans="1:14" x14ac:dyDescent="0.35">
      <c r="B7" s="141" t="s">
        <v>51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x14ac:dyDescent="0.35">
      <c r="B8" s="2"/>
      <c r="N8" s="3"/>
    </row>
    <row r="9" spans="1:14" ht="15.5" x14ac:dyDescent="0.35">
      <c r="B9" s="4"/>
      <c r="C9" s="144" t="s">
        <v>52</v>
      </c>
      <c r="D9" s="144"/>
      <c r="E9" s="144" t="s">
        <v>53</v>
      </c>
      <c r="F9" s="144"/>
      <c r="G9" s="144"/>
      <c r="H9" s="144"/>
      <c r="I9" s="134" t="s">
        <v>54</v>
      </c>
      <c r="J9" s="134"/>
      <c r="K9" s="134"/>
      <c r="L9" s="134"/>
      <c r="M9" s="134"/>
      <c r="N9" s="3" t="s">
        <v>55</v>
      </c>
    </row>
    <row r="10" spans="1:14" x14ac:dyDescent="0.35">
      <c r="B10" s="2"/>
      <c r="C10" s="5" t="s">
        <v>56</v>
      </c>
      <c r="D10" s="5" t="s">
        <v>32</v>
      </c>
      <c r="E10" s="6" t="s">
        <v>23</v>
      </c>
      <c r="F10" s="6" t="s">
        <v>35</v>
      </c>
      <c r="G10" s="6" t="s">
        <v>57</v>
      </c>
      <c r="H10" s="6" t="s">
        <v>1</v>
      </c>
      <c r="I10" s="7" t="s">
        <v>45</v>
      </c>
      <c r="J10" s="7" t="s">
        <v>19</v>
      </c>
      <c r="K10" s="7" t="s">
        <v>50</v>
      </c>
      <c r="L10" s="7" t="s">
        <v>30</v>
      </c>
      <c r="M10" s="7" t="s">
        <v>14</v>
      </c>
      <c r="N10" s="8" t="s">
        <v>29</v>
      </c>
    </row>
    <row r="11" spans="1:14" x14ac:dyDescent="0.35">
      <c r="B11" s="2"/>
      <c r="N11" s="3"/>
    </row>
    <row r="12" spans="1:14" x14ac:dyDescent="0.35">
      <c r="B12" s="2"/>
      <c r="C12" s="9"/>
      <c r="N12" s="3"/>
    </row>
    <row r="13" spans="1:14" x14ac:dyDescent="0.35">
      <c r="B13" s="10" t="s">
        <v>59</v>
      </c>
      <c r="C13" s="11">
        <v>495</v>
      </c>
      <c r="D13" s="11">
        <v>495</v>
      </c>
      <c r="E13" s="11">
        <v>529</v>
      </c>
      <c r="F13" s="11">
        <v>529</v>
      </c>
      <c r="G13" s="11">
        <v>529</v>
      </c>
      <c r="H13" s="11">
        <v>529</v>
      </c>
      <c r="I13" s="11">
        <v>508</v>
      </c>
      <c r="J13" s="11">
        <v>508</v>
      </c>
      <c r="K13" s="11">
        <v>508</v>
      </c>
      <c r="L13" s="11">
        <v>508</v>
      </c>
      <c r="M13" s="11">
        <v>508</v>
      </c>
      <c r="N13" s="12">
        <v>564</v>
      </c>
    </row>
    <row r="14" spans="1:14" x14ac:dyDescent="0.35">
      <c r="B14" s="10" t="s">
        <v>60</v>
      </c>
      <c r="C14" s="11">
        <v>532</v>
      </c>
      <c r="D14" s="11">
        <v>532</v>
      </c>
      <c r="E14" s="11">
        <v>569</v>
      </c>
      <c r="F14" s="11">
        <v>569</v>
      </c>
      <c r="G14" s="11">
        <v>569</v>
      </c>
      <c r="H14" s="11">
        <v>569</v>
      </c>
      <c r="I14" s="11">
        <v>547</v>
      </c>
      <c r="J14" s="11">
        <v>547</v>
      </c>
      <c r="K14" s="11">
        <v>547</v>
      </c>
      <c r="L14" s="11">
        <v>547</v>
      </c>
      <c r="M14" s="11">
        <v>547</v>
      </c>
      <c r="N14" s="12">
        <v>607</v>
      </c>
    </row>
    <row r="15" spans="1:14" x14ac:dyDescent="0.35">
      <c r="B15" s="10" t="s">
        <v>61</v>
      </c>
      <c r="C15" s="11">
        <v>577</v>
      </c>
      <c r="D15" s="11">
        <v>577</v>
      </c>
      <c r="E15" s="11">
        <v>616</v>
      </c>
      <c r="F15" s="11">
        <v>616</v>
      </c>
      <c r="G15" s="11">
        <v>616</v>
      </c>
      <c r="H15" s="11">
        <v>616</v>
      </c>
      <c r="I15" s="11">
        <v>592</v>
      </c>
      <c r="J15" s="11">
        <v>592</v>
      </c>
      <c r="K15" s="11">
        <v>592</v>
      </c>
      <c r="L15" s="11">
        <v>592</v>
      </c>
      <c r="M15" s="11">
        <v>592</v>
      </c>
      <c r="N15" s="12">
        <v>657</v>
      </c>
    </row>
    <row r="16" spans="1:14" x14ac:dyDescent="0.35">
      <c r="B16" s="10" t="s">
        <v>62</v>
      </c>
      <c r="C16" s="11">
        <v>631</v>
      </c>
      <c r="D16" s="11">
        <v>631</v>
      </c>
      <c r="E16" s="11">
        <v>673</v>
      </c>
      <c r="F16" s="11">
        <v>673</v>
      </c>
      <c r="G16" s="11">
        <v>673</v>
      </c>
      <c r="H16" s="11">
        <v>673</v>
      </c>
      <c r="I16" s="11">
        <v>648</v>
      </c>
      <c r="J16" s="11">
        <v>648</v>
      </c>
      <c r="K16" s="11">
        <v>648</v>
      </c>
      <c r="L16" s="11">
        <v>648</v>
      </c>
      <c r="M16" s="11">
        <v>648</v>
      </c>
      <c r="N16" s="12">
        <v>718</v>
      </c>
    </row>
    <row r="17" spans="2:14" x14ac:dyDescent="0.35">
      <c r="B17" s="10" t="s">
        <v>63</v>
      </c>
      <c r="C17" s="11">
        <v>782</v>
      </c>
      <c r="D17" s="11">
        <v>782</v>
      </c>
      <c r="E17" s="11">
        <v>834</v>
      </c>
      <c r="F17" s="11">
        <v>834</v>
      </c>
      <c r="G17" s="11">
        <v>834</v>
      </c>
      <c r="H17" s="11">
        <v>834</v>
      </c>
      <c r="I17" s="11">
        <v>803</v>
      </c>
      <c r="J17" s="11">
        <v>803</v>
      </c>
      <c r="K17" s="11">
        <v>803</v>
      </c>
      <c r="L17" s="11">
        <v>803</v>
      </c>
      <c r="M17" s="11">
        <v>803</v>
      </c>
      <c r="N17" s="12">
        <v>890</v>
      </c>
    </row>
    <row r="18" spans="2:14" x14ac:dyDescent="0.35">
      <c r="B18" s="10" t="s">
        <v>64</v>
      </c>
      <c r="C18" s="11">
        <v>833</v>
      </c>
      <c r="D18" s="11">
        <v>833</v>
      </c>
      <c r="E18" s="11">
        <v>889</v>
      </c>
      <c r="F18" s="11">
        <v>889</v>
      </c>
      <c r="G18" s="11">
        <v>889</v>
      </c>
      <c r="H18" s="11">
        <v>889</v>
      </c>
      <c r="I18" s="11">
        <v>855</v>
      </c>
      <c r="J18" s="11">
        <v>855</v>
      </c>
      <c r="K18" s="11">
        <v>855</v>
      </c>
      <c r="L18" s="11">
        <v>855</v>
      </c>
      <c r="M18" s="11">
        <v>855</v>
      </c>
      <c r="N18" s="12">
        <v>948</v>
      </c>
    </row>
    <row r="19" spans="2:14" x14ac:dyDescent="0.35">
      <c r="B19" s="10" t="s">
        <v>65</v>
      </c>
      <c r="C19" s="11">
        <v>961</v>
      </c>
      <c r="D19" s="11">
        <v>961</v>
      </c>
      <c r="E19" s="11">
        <v>1025</v>
      </c>
      <c r="F19" s="11">
        <v>1025</v>
      </c>
      <c r="G19" s="11">
        <v>1025</v>
      </c>
      <c r="H19" s="11">
        <v>1025</v>
      </c>
      <c r="I19" s="11">
        <v>987</v>
      </c>
      <c r="J19" s="11">
        <v>987</v>
      </c>
      <c r="K19" s="11">
        <v>987</v>
      </c>
      <c r="L19" s="11">
        <v>987</v>
      </c>
      <c r="M19" s="11">
        <v>987</v>
      </c>
      <c r="N19" s="12">
        <v>1093</v>
      </c>
    </row>
    <row r="20" spans="2:14" x14ac:dyDescent="0.35">
      <c r="B20" s="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2:14" x14ac:dyDescent="0.35">
      <c r="B21" s="2"/>
      <c r="D21" s="15"/>
      <c r="N21" s="3"/>
    </row>
    <row r="22" spans="2:14" x14ac:dyDescent="0.35">
      <c r="B22" s="2" t="s">
        <v>58</v>
      </c>
      <c r="C22" s="16">
        <v>55.78</v>
      </c>
      <c r="D22" s="16">
        <v>55.78</v>
      </c>
      <c r="E22" s="16">
        <v>57.84</v>
      </c>
      <c r="F22" s="16">
        <v>57.84</v>
      </c>
      <c r="G22" s="16">
        <v>57.84</v>
      </c>
      <c r="H22" s="16">
        <v>57.84</v>
      </c>
      <c r="I22" s="16">
        <v>56.72</v>
      </c>
      <c r="J22" s="16">
        <v>56.72</v>
      </c>
      <c r="K22" s="16">
        <v>56.72</v>
      </c>
      <c r="L22" s="16">
        <v>56.72</v>
      </c>
      <c r="M22" s="16">
        <v>56.72</v>
      </c>
      <c r="N22" s="17">
        <v>62.68</v>
      </c>
    </row>
    <row r="23" spans="2:14" ht="15" thickBot="1" x14ac:dyDescent="0.4"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7" spans="2:14" ht="15" thickBot="1" x14ac:dyDescent="0.4"/>
    <row r="28" spans="2:14" ht="30" customHeight="1" x14ac:dyDescent="0.35">
      <c r="B28" s="140" t="s">
        <v>66</v>
      </c>
      <c r="C28" s="140"/>
      <c r="D28" s="21"/>
      <c r="J28" s="137" t="s">
        <v>68</v>
      </c>
      <c r="K28" s="24"/>
      <c r="L28" s="24"/>
      <c r="M28" s="25" t="s">
        <v>19</v>
      </c>
      <c r="N28" s="26"/>
    </row>
    <row r="29" spans="2:14" x14ac:dyDescent="0.35">
      <c r="B29" s="10" t="s">
        <v>61</v>
      </c>
      <c r="C29" s="22">
        <v>9</v>
      </c>
      <c r="D29" s="37"/>
      <c r="J29" s="138"/>
      <c r="L29" s="6" t="s">
        <v>1</v>
      </c>
      <c r="M29" s="7" t="s">
        <v>30</v>
      </c>
      <c r="N29" s="3"/>
    </row>
    <row r="30" spans="2:14" x14ac:dyDescent="0.35">
      <c r="B30" s="10" t="s">
        <v>62</v>
      </c>
      <c r="C30" s="22">
        <v>12</v>
      </c>
      <c r="G30" s="1"/>
      <c r="J30" s="138"/>
      <c r="L30" s="6" t="s">
        <v>57</v>
      </c>
      <c r="M30" s="7" t="s">
        <v>13</v>
      </c>
      <c r="N30" s="3"/>
    </row>
    <row r="31" spans="2:14" x14ac:dyDescent="0.35">
      <c r="B31" s="10" t="s">
        <v>63</v>
      </c>
      <c r="C31" s="22">
        <v>15</v>
      </c>
      <c r="J31" s="138"/>
      <c r="K31" s="5" t="s">
        <v>56</v>
      </c>
      <c r="L31" s="6" t="s">
        <v>23</v>
      </c>
      <c r="M31" s="7" t="s">
        <v>44</v>
      </c>
      <c r="N31" s="3"/>
    </row>
    <row r="32" spans="2:14" ht="15" thickBot="1" x14ac:dyDescent="0.4">
      <c r="B32" s="10" t="s">
        <v>64</v>
      </c>
      <c r="C32" s="22">
        <v>17</v>
      </c>
      <c r="J32" s="139"/>
      <c r="K32" s="27" t="s">
        <v>5</v>
      </c>
      <c r="L32" s="28" t="s">
        <v>35</v>
      </c>
      <c r="M32" s="29" t="s">
        <v>50</v>
      </c>
      <c r="N32" s="30" t="s">
        <v>29</v>
      </c>
    </row>
    <row r="33" spans="2:14" ht="15" customHeight="1" x14ac:dyDescent="0.35">
      <c r="B33" s="10" t="s">
        <v>65</v>
      </c>
      <c r="C33" s="22">
        <v>20</v>
      </c>
      <c r="J33" s="137" t="s">
        <v>67</v>
      </c>
      <c r="K33" s="31" t="s">
        <v>8</v>
      </c>
      <c r="L33" s="31" t="s">
        <v>0</v>
      </c>
      <c r="M33" s="31" t="s">
        <v>12</v>
      </c>
      <c r="N33" s="32" t="s">
        <v>28</v>
      </c>
    </row>
    <row r="34" spans="2:14" x14ac:dyDescent="0.35">
      <c r="J34" s="138"/>
      <c r="K34" s="23" t="s">
        <v>9</v>
      </c>
      <c r="L34" s="23" t="s">
        <v>2</v>
      </c>
      <c r="M34" s="23" t="s">
        <v>15</v>
      </c>
      <c r="N34" s="3"/>
    </row>
    <row r="35" spans="2:14" x14ac:dyDescent="0.35">
      <c r="J35" s="138"/>
      <c r="K35" s="23" t="s">
        <v>10</v>
      </c>
      <c r="L35" s="23" t="s">
        <v>3</v>
      </c>
      <c r="M35" s="23" t="s">
        <v>16</v>
      </c>
      <c r="N35" s="3"/>
    </row>
    <row r="36" spans="2:14" x14ac:dyDescent="0.35">
      <c r="B36" s="38" t="s">
        <v>69</v>
      </c>
      <c r="D36" s="36" t="s">
        <v>70</v>
      </c>
      <c r="J36" s="138"/>
      <c r="K36" s="23" t="s">
        <v>11</v>
      </c>
      <c r="L36" s="23" t="s">
        <v>4</v>
      </c>
      <c r="M36" s="23" t="s">
        <v>17</v>
      </c>
      <c r="N36" s="3"/>
    </row>
    <row r="37" spans="2:14" x14ac:dyDescent="0.35">
      <c r="J37" s="138"/>
      <c r="K37" s="23" t="s">
        <v>31</v>
      </c>
      <c r="L37" s="23" t="s">
        <v>6</v>
      </c>
      <c r="M37" s="23" t="s">
        <v>18</v>
      </c>
      <c r="N37" s="3"/>
    </row>
    <row r="38" spans="2:14" ht="15" customHeight="1" x14ac:dyDescent="0.35">
      <c r="J38" s="138"/>
      <c r="K38" s="23" t="s">
        <v>33</v>
      </c>
      <c r="L38" s="23" t="s">
        <v>7</v>
      </c>
      <c r="M38" s="23" t="s">
        <v>20</v>
      </c>
      <c r="N38" s="3"/>
    </row>
    <row r="39" spans="2:14" x14ac:dyDescent="0.35">
      <c r="J39" s="138"/>
      <c r="L39" s="23" t="s">
        <v>22</v>
      </c>
      <c r="M39" s="23" t="s">
        <v>21</v>
      </c>
      <c r="N39" s="3"/>
    </row>
    <row r="40" spans="2:14" x14ac:dyDescent="0.35">
      <c r="C40" s="36"/>
      <c r="J40" s="138"/>
      <c r="L40" s="23" t="s">
        <v>24</v>
      </c>
      <c r="M40" s="23" t="s">
        <v>30</v>
      </c>
      <c r="N40" s="3"/>
    </row>
    <row r="41" spans="2:14" x14ac:dyDescent="0.35">
      <c r="J41" s="138"/>
      <c r="L41" s="23" t="s">
        <v>25</v>
      </c>
      <c r="M41" s="23" t="s">
        <v>43</v>
      </c>
      <c r="N41" s="3"/>
    </row>
    <row r="42" spans="2:14" ht="15.5" x14ac:dyDescent="0.35">
      <c r="B42" s="134" t="s">
        <v>161</v>
      </c>
      <c r="C42" s="134"/>
      <c r="D42" s="134"/>
      <c r="J42" s="138"/>
      <c r="L42" s="23" t="s">
        <v>26</v>
      </c>
      <c r="M42" s="23" t="s">
        <v>46</v>
      </c>
      <c r="N42" s="3"/>
    </row>
    <row r="43" spans="2:14" ht="29" x14ac:dyDescent="0.35">
      <c r="B43" s="124" t="s">
        <v>162</v>
      </c>
      <c r="C43" s="133" t="s">
        <v>163</v>
      </c>
      <c r="D43" s="125" t="s">
        <v>164</v>
      </c>
      <c r="J43" s="138"/>
      <c r="L43" s="23" t="s">
        <v>27</v>
      </c>
      <c r="M43" s="23" t="s">
        <v>47</v>
      </c>
      <c r="N43" s="3"/>
    </row>
    <row r="44" spans="2:14" x14ac:dyDescent="0.35">
      <c r="B44" s="126" t="s">
        <v>165</v>
      </c>
      <c r="C44" s="127">
        <v>25</v>
      </c>
      <c r="D44" s="128">
        <v>25</v>
      </c>
      <c r="G44" s="21"/>
      <c r="H44" s="21"/>
      <c r="J44" s="138"/>
      <c r="L44" s="23" t="s">
        <v>34</v>
      </c>
      <c r="M44" s="23" t="s">
        <v>48</v>
      </c>
      <c r="N44" s="3"/>
    </row>
    <row r="45" spans="2:14" x14ac:dyDescent="0.35">
      <c r="B45" s="126" t="s">
        <v>166</v>
      </c>
      <c r="C45" s="127">
        <v>22.999999999999996</v>
      </c>
      <c r="D45" s="128">
        <v>0</v>
      </c>
      <c r="G45" s="21"/>
      <c r="H45" s="21"/>
      <c r="J45" s="138"/>
      <c r="L45" s="23" t="s">
        <v>36</v>
      </c>
      <c r="M45" s="1" t="s">
        <v>49</v>
      </c>
      <c r="N45" s="3"/>
    </row>
    <row r="46" spans="2:14" x14ac:dyDescent="0.35">
      <c r="B46" s="126" t="s">
        <v>167</v>
      </c>
      <c r="C46" s="127">
        <v>21</v>
      </c>
      <c r="D46" s="129"/>
      <c r="G46" s="21"/>
      <c r="H46" s="21"/>
      <c r="J46" s="138"/>
      <c r="L46" s="23" t="s">
        <v>37</v>
      </c>
      <c r="N46" s="3"/>
    </row>
    <row r="47" spans="2:14" x14ac:dyDescent="0.35">
      <c r="B47" s="126" t="s">
        <v>168</v>
      </c>
      <c r="C47" s="127">
        <v>19</v>
      </c>
      <c r="D47" s="128"/>
      <c r="G47" s="21"/>
      <c r="H47" s="21"/>
      <c r="J47" s="138"/>
      <c r="L47" s="23" t="s">
        <v>38</v>
      </c>
      <c r="N47" s="3"/>
    </row>
    <row r="48" spans="2:14" x14ac:dyDescent="0.35">
      <c r="B48" s="126" t="s">
        <v>169</v>
      </c>
      <c r="C48" s="127">
        <v>15</v>
      </c>
      <c r="D48" s="128"/>
      <c r="G48" s="21"/>
      <c r="H48" s="21"/>
      <c r="J48" s="138"/>
      <c r="L48" s="23" t="s">
        <v>39</v>
      </c>
      <c r="N48" s="3"/>
    </row>
    <row r="49" spans="2:14" x14ac:dyDescent="0.35">
      <c r="B49" s="126" t="s">
        <v>170</v>
      </c>
      <c r="C49" s="127">
        <v>14</v>
      </c>
      <c r="D49" s="128"/>
      <c r="G49" s="21"/>
      <c r="H49" s="21"/>
      <c r="J49" s="138"/>
      <c r="L49" s="23" t="s">
        <v>40</v>
      </c>
      <c r="N49" s="3"/>
    </row>
    <row r="50" spans="2:14" ht="15" thickBot="1" x14ac:dyDescent="0.4">
      <c r="B50" s="130" t="s">
        <v>171</v>
      </c>
      <c r="C50" s="127">
        <v>12</v>
      </c>
      <c r="D50" s="128"/>
      <c r="G50" s="21"/>
      <c r="H50" s="21"/>
      <c r="J50" s="138"/>
      <c r="L50" s="23" t="s">
        <v>41</v>
      </c>
      <c r="N50" s="3"/>
    </row>
    <row r="51" spans="2:14" ht="15" thickBot="1" x14ac:dyDescent="0.4">
      <c r="D51" s="131">
        <f>ROUND(40-((40/$C$44*$D$44)+(40/C45*D45)+(40/C46*D46)+(40/C47*D47)+(40/C48*D48)+(40/C49*D49)+(40/C50*D50)),0)</f>
        <v>0</v>
      </c>
      <c r="E51" s="132" t="s">
        <v>172</v>
      </c>
      <c r="G51" s="21"/>
      <c r="H51" s="21"/>
      <c r="J51" s="139"/>
      <c r="K51" s="33"/>
      <c r="L51" s="34" t="s">
        <v>42</v>
      </c>
      <c r="M51" s="33"/>
      <c r="N51" s="35"/>
    </row>
    <row r="52" spans="2:14" x14ac:dyDescent="0.35">
      <c r="G52" s="21"/>
      <c r="H52" s="21"/>
    </row>
    <row r="53" spans="2:14" x14ac:dyDescent="0.35">
      <c r="B53" s="21"/>
      <c r="C53" s="21"/>
      <c r="D53" s="21"/>
      <c r="E53" s="21"/>
      <c r="F53" s="21"/>
      <c r="G53" s="21"/>
      <c r="H53" s="21"/>
    </row>
    <row r="54" spans="2:14" x14ac:dyDescent="0.35">
      <c r="B54" s="21"/>
      <c r="C54" s="21"/>
      <c r="D54" s="21"/>
      <c r="E54" s="21"/>
      <c r="F54" s="21"/>
      <c r="G54" s="21"/>
      <c r="H54" s="21"/>
    </row>
    <row r="55" spans="2:14" ht="24.75" customHeight="1" x14ac:dyDescent="0.35">
      <c r="F55" s="21"/>
      <c r="G55" s="21"/>
      <c r="H55" s="21"/>
    </row>
    <row r="56" spans="2:14" x14ac:dyDescent="0.35">
      <c r="F56" s="21"/>
      <c r="G56" s="21"/>
      <c r="H56" s="21"/>
    </row>
    <row r="57" spans="2:14" x14ac:dyDescent="0.35">
      <c r="F57" s="21"/>
      <c r="G57" s="21"/>
      <c r="H57" s="21"/>
    </row>
    <row r="58" spans="2:14" x14ac:dyDescent="0.35">
      <c r="F58" s="21"/>
      <c r="G58" s="21"/>
      <c r="H58" s="21"/>
    </row>
    <row r="59" spans="2:14" x14ac:dyDescent="0.35">
      <c r="F59" s="21"/>
      <c r="G59" s="21"/>
      <c r="H59" s="21"/>
    </row>
    <row r="60" spans="2:14" x14ac:dyDescent="0.35">
      <c r="F60" s="21"/>
      <c r="G60" s="21"/>
      <c r="H60" s="21"/>
    </row>
    <row r="61" spans="2:14" x14ac:dyDescent="0.35">
      <c r="F61" s="21"/>
      <c r="G61" s="21"/>
      <c r="H61" s="21"/>
    </row>
    <row r="62" spans="2:14" x14ac:dyDescent="0.35">
      <c r="F62" s="21"/>
      <c r="G62" s="21"/>
      <c r="H62" s="21"/>
    </row>
    <row r="63" spans="2:14" x14ac:dyDescent="0.35">
      <c r="F63" s="21"/>
      <c r="G63" s="21"/>
      <c r="H63" s="21"/>
    </row>
    <row r="64" spans="2:14" x14ac:dyDescent="0.35">
      <c r="F64" s="21"/>
      <c r="G64" s="21"/>
      <c r="H64" s="21"/>
    </row>
    <row r="65" spans="2:10" x14ac:dyDescent="0.35">
      <c r="B65" s="21"/>
      <c r="C65" s="21"/>
      <c r="D65" s="21"/>
      <c r="E65" s="21"/>
      <c r="F65" s="21"/>
      <c r="G65" s="21"/>
      <c r="H65" s="21"/>
    </row>
    <row r="71" spans="2:10" ht="15" customHeight="1" x14ac:dyDescent="0.35">
      <c r="I71" s="21"/>
      <c r="J71" s="21"/>
    </row>
    <row r="72" spans="2:10" x14ac:dyDescent="0.35">
      <c r="I72" s="21"/>
      <c r="J72" s="21"/>
    </row>
    <row r="73" spans="2:10" x14ac:dyDescent="0.35">
      <c r="I73" s="21"/>
      <c r="J73" s="21"/>
    </row>
    <row r="74" spans="2:10" x14ac:dyDescent="0.35">
      <c r="I74" s="21"/>
      <c r="J74" s="21"/>
    </row>
    <row r="75" spans="2:10" x14ac:dyDescent="0.35">
      <c r="I75" s="21"/>
      <c r="J75" s="21"/>
    </row>
    <row r="76" spans="2:10" x14ac:dyDescent="0.35">
      <c r="I76" s="21"/>
      <c r="J76" s="21"/>
    </row>
    <row r="77" spans="2:10" x14ac:dyDescent="0.35">
      <c r="I77" s="21"/>
      <c r="J77" s="21"/>
    </row>
    <row r="78" spans="2:10" x14ac:dyDescent="0.35">
      <c r="I78" s="21"/>
      <c r="J78" s="21"/>
    </row>
    <row r="79" spans="2:10" x14ac:dyDescent="0.35">
      <c r="I79" s="21"/>
      <c r="J79" s="21"/>
    </row>
    <row r="80" spans="2:10" x14ac:dyDescent="0.35">
      <c r="I80" s="21"/>
      <c r="J80" s="21"/>
    </row>
    <row r="81" spans="9:10" x14ac:dyDescent="0.35">
      <c r="I81" s="21"/>
      <c r="J81" s="21"/>
    </row>
    <row r="82" spans="9:10" ht="64.5" customHeight="1" x14ac:dyDescent="0.35">
      <c r="I82" s="21"/>
      <c r="J82" s="21"/>
    </row>
    <row r="83" spans="9:10" x14ac:dyDescent="0.35">
      <c r="I83" s="21"/>
      <c r="J83" s="21"/>
    </row>
    <row r="84" spans="9:10" x14ac:dyDescent="0.35">
      <c r="I84" s="21"/>
      <c r="J84" s="21"/>
    </row>
    <row r="85" spans="9:10" x14ac:dyDescent="0.35">
      <c r="I85" s="21"/>
      <c r="J85" s="21"/>
    </row>
    <row r="86" spans="9:10" x14ac:dyDescent="0.35">
      <c r="I86" s="21"/>
      <c r="J86" s="21"/>
    </row>
    <row r="87" spans="9:10" x14ac:dyDescent="0.35">
      <c r="I87" s="21"/>
      <c r="J87" s="21"/>
    </row>
    <row r="88" spans="9:10" x14ac:dyDescent="0.35">
      <c r="I88" s="21"/>
      <c r="J88" s="21"/>
    </row>
    <row r="89" spans="9:10" x14ac:dyDescent="0.35">
      <c r="I89" s="21"/>
      <c r="J89" s="21"/>
    </row>
    <row r="90" spans="9:10" x14ac:dyDescent="0.35">
      <c r="I90" s="21"/>
      <c r="J90" s="21"/>
    </row>
    <row r="91" spans="9:10" x14ac:dyDescent="0.35">
      <c r="I91" s="21"/>
      <c r="J91" s="21"/>
    </row>
    <row r="92" spans="9:10" x14ac:dyDescent="0.35">
      <c r="I92" s="21"/>
      <c r="J92" s="21"/>
    </row>
  </sheetData>
  <mergeCells count="10">
    <mergeCell ref="B42:D42"/>
    <mergeCell ref="A2:N2"/>
    <mergeCell ref="A3:N3"/>
    <mergeCell ref="J28:J32"/>
    <mergeCell ref="J33:J51"/>
    <mergeCell ref="B28:C28"/>
    <mergeCell ref="B7:N7"/>
    <mergeCell ref="C9:D9"/>
    <mergeCell ref="E9:H9"/>
    <mergeCell ref="I9:M9"/>
  </mergeCells>
  <phoneticPr fontId="6" type="noConversion"/>
  <conditionalFormatting sqref="C13:N19">
    <cfRule type="cellIs" dxfId="1" priority="2" operator="lessThan">
      <formula>481</formula>
    </cfRule>
  </conditionalFormatting>
  <conditionalFormatting sqref="D51">
    <cfRule type="cellIs" dxfId="0" priority="1" operator="lessThan">
      <formula>0</formula>
    </cfRule>
  </conditionalFormatting>
  <hyperlinks>
    <hyperlink ref="D36" r:id="rId1" display="https://ofm.wa.gov/accounting/administrative-accounting-resources/travel" xr:uid="{9FD8AAE1-2EFA-445D-B0F4-A09D761D82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F140-DF73-4B38-982A-81505A45B808}">
  <sheetPr codeName="Sheet2"/>
  <dimension ref="B1:K69"/>
  <sheetViews>
    <sheetView topLeftCell="B5" zoomScale="130" zoomScaleNormal="130" workbookViewId="0">
      <selection activeCell="D24" sqref="D24"/>
    </sheetView>
  </sheetViews>
  <sheetFormatPr defaultColWidth="9.1796875" defaultRowHeight="12.5" x14ac:dyDescent="0.25"/>
  <cols>
    <col min="1" max="1" width="6" style="39" customWidth="1"/>
    <col min="2" max="2" width="37.1796875" style="39" customWidth="1"/>
    <col min="3" max="3" width="23.1796875" style="39" customWidth="1"/>
    <col min="4" max="4" width="32.1796875" style="39" customWidth="1"/>
    <col min="5" max="5" width="12.54296875" style="39" customWidth="1"/>
    <col min="6" max="6" width="8.1796875" style="39" customWidth="1"/>
    <col min="7" max="7" width="19" style="39" customWidth="1"/>
    <col min="8" max="8" width="14.7265625" style="39" customWidth="1"/>
    <col min="9" max="9" width="16" style="39" customWidth="1"/>
    <col min="10" max="10" width="17.81640625" style="39" customWidth="1"/>
    <col min="11" max="11" width="12" style="39" hidden="1" customWidth="1"/>
    <col min="12" max="12" width="9.1796875" style="39"/>
    <col min="13" max="13" width="5" style="39" customWidth="1"/>
    <col min="14" max="16384" width="9.1796875" style="39"/>
  </cols>
  <sheetData>
    <row r="1" spans="2:10" ht="20" thickBot="1" x14ac:dyDescent="0.5">
      <c r="B1" s="145"/>
      <c r="C1" s="145"/>
      <c r="D1" s="145"/>
      <c r="E1" s="145"/>
      <c r="F1" s="145"/>
      <c r="G1" s="145"/>
      <c r="H1" s="145"/>
    </row>
    <row r="2" spans="2:10" ht="14.5" customHeight="1" thickTop="1" x14ac:dyDescent="0.25">
      <c r="G2" s="40"/>
    </row>
    <row r="3" spans="2:10" ht="14.5" customHeight="1" x14ac:dyDescent="0.25"/>
    <row r="4" spans="2:10" ht="14.5" customHeight="1" x14ac:dyDescent="0.25"/>
    <row r="5" spans="2:10" ht="14.5" customHeight="1" x14ac:dyDescent="0.25"/>
    <row r="6" spans="2:10" ht="14.5" customHeight="1" x14ac:dyDescent="0.35">
      <c r="B6" s="146" t="s">
        <v>73</v>
      </c>
      <c r="C6" s="147"/>
      <c r="D6" s="147"/>
      <c r="E6" s="41"/>
      <c r="F6" s="41"/>
      <c r="G6" s="41"/>
      <c r="H6" s="42"/>
      <c r="I6" s="42"/>
      <c r="J6" s="42"/>
    </row>
    <row r="7" spans="2:10" ht="16" customHeight="1" x14ac:dyDescent="0.35">
      <c r="B7" s="43" t="s">
        <v>74</v>
      </c>
      <c r="C7" s="44" t="s">
        <v>75</v>
      </c>
      <c r="H7" s="42"/>
      <c r="I7" s="42"/>
      <c r="J7" s="42"/>
    </row>
    <row r="8" spans="2:10" ht="15" customHeight="1" x14ac:dyDescent="0.35">
      <c r="B8" s="45" t="s">
        <v>76</v>
      </c>
      <c r="C8" s="46">
        <v>0.2</v>
      </c>
    </row>
    <row r="9" spans="2:10" ht="15" customHeight="1" x14ac:dyDescent="0.35">
      <c r="B9" s="45" t="s">
        <v>77</v>
      </c>
      <c r="C9" s="46">
        <v>0.17</v>
      </c>
    </row>
    <row r="10" spans="2:10" ht="15" customHeight="1" x14ac:dyDescent="0.35">
      <c r="B10" s="45" t="s">
        <v>78</v>
      </c>
      <c r="C10" s="47">
        <v>1.4999999999999999E-2</v>
      </c>
    </row>
    <row r="11" spans="2:10" ht="15" customHeight="1" x14ac:dyDescent="0.35">
      <c r="C11" s="48"/>
    </row>
    <row r="12" spans="2:10" ht="15" customHeight="1" x14ac:dyDescent="0.35">
      <c r="B12" s="148" t="s">
        <v>79</v>
      </c>
      <c r="C12" s="148"/>
      <c r="D12" s="148"/>
    </row>
    <row r="13" spans="2:10" ht="15" customHeight="1" x14ac:dyDescent="0.35">
      <c r="B13" s="43" t="s">
        <v>80</v>
      </c>
      <c r="C13" s="44" t="s">
        <v>81</v>
      </c>
      <c r="D13" s="50" t="s">
        <v>82</v>
      </c>
    </row>
    <row r="14" spans="2:10" ht="15" customHeight="1" x14ac:dyDescent="0.35">
      <c r="B14" s="45" t="s">
        <v>83</v>
      </c>
      <c r="C14" s="51">
        <v>120</v>
      </c>
      <c r="D14" s="52">
        <f>C14/2080</f>
        <v>5.7692307692307696E-2</v>
      </c>
    </row>
    <row r="15" spans="2:10" ht="15" customHeight="1" x14ac:dyDescent="0.35">
      <c r="B15" s="45" t="s">
        <v>84</v>
      </c>
      <c r="C15" s="51">
        <v>88</v>
      </c>
      <c r="D15" s="52">
        <f t="shared" ref="D15:D16" si="0">C15/2080</f>
        <v>4.230769230769231E-2</v>
      </c>
    </row>
    <row r="16" spans="2:10" ht="15" customHeight="1" x14ac:dyDescent="0.35">
      <c r="B16" s="45" t="s">
        <v>85</v>
      </c>
      <c r="C16" s="51">
        <v>40</v>
      </c>
      <c r="D16" s="52">
        <f t="shared" si="0"/>
        <v>1.9230769230769232E-2</v>
      </c>
      <c r="F16" s="53"/>
      <c r="G16" s="40"/>
    </row>
    <row r="17" spans="2:6" x14ac:dyDescent="0.25">
      <c r="B17" s="45" t="s">
        <v>86</v>
      </c>
      <c r="C17" s="54">
        <f>3300+900</f>
        <v>4200</v>
      </c>
      <c r="D17" s="55"/>
    </row>
    <row r="20" spans="2:6" x14ac:dyDescent="0.25">
      <c r="C20" s="39" t="s">
        <v>87</v>
      </c>
    </row>
    <row r="21" spans="2:6" x14ac:dyDescent="0.25">
      <c r="B21" s="39" t="s">
        <v>88</v>
      </c>
    </row>
    <row r="22" spans="2:6" x14ac:dyDescent="0.25">
      <c r="B22" s="39" t="s">
        <v>89</v>
      </c>
      <c r="C22" s="42">
        <v>0.5</v>
      </c>
    </row>
    <row r="23" spans="2:6" x14ac:dyDescent="0.25">
      <c r="B23" s="39" t="s">
        <v>90</v>
      </c>
      <c r="C23" s="56"/>
    </row>
    <row r="24" spans="2:6" ht="15.5" x14ac:dyDescent="0.35">
      <c r="B24" s="57"/>
      <c r="C24" s="57"/>
    </row>
    <row r="25" spans="2:6" ht="12.75" customHeight="1" x14ac:dyDescent="0.35">
      <c r="B25" s="149" t="s">
        <v>91</v>
      </c>
      <c r="C25" s="150"/>
    </row>
    <row r="26" spans="2:6" ht="4.5" customHeight="1" x14ac:dyDescent="0.25">
      <c r="B26" s="58"/>
      <c r="C26" s="59"/>
    </row>
    <row r="27" spans="2:6" ht="14.5" x14ac:dyDescent="0.35">
      <c r="B27" s="60" t="s">
        <v>92</v>
      </c>
      <c r="C27" s="61">
        <v>25</v>
      </c>
      <c r="D27" s="62"/>
      <c r="F27" s="63"/>
    </row>
    <row r="28" spans="2:6" ht="14.5" x14ac:dyDescent="0.35">
      <c r="B28" s="60" t="s">
        <v>93</v>
      </c>
      <c r="C28" s="61">
        <v>22.999999999999996</v>
      </c>
      <c r="D28" s="62"/>
      <c r="F28" s="63"/>
    </row>
    <row r="29" spans="2:6" ht="14.5" x14ac:dyDescent="0.35">
      <c r="B29" s="60" t="s">
        <v>94</v>
      </c>
      <c r="C29" s="64">
        <v>21</v>
      </c>
      <c r="D29" s="62"/>
      <c r="F29" s="63"/>
    </row>
    <row r="30" spans="2:6" ht="14.5" x14ac:dyDescent="0.35">
      <c r="B30" s="60" t="s">
        <v>95</v>
      </c>
      <c r="C30" s="64">
        <v>19</v>
      </c>
      <c r="D30" s="62"/>
      <c r="F30" s="63"/>
    </row>
    <row r="31" spans="2:6" ht="14.5" x14ac:dyDescent="0.35">
      <c r="B31" s="60" t="s">
        <v>96</v>
      </c>
      <c r="C31" s="64">
        <v>15</v>
      </c>
      <c r="D31" s="62"/>
      <c r="F31" s="63"/>
    </row>
    <row r="32" spans="2:6" ht="14.5" x14ac:dyDescent="0.35">
      <c r="B32" s="60" t="s">
        <v>97</v>
      </c>
      <c r="C32" s="64">
        <v>14</v>
      </c>
      <c r="D32" s="65"/>
      <c r="F32" s="63"/>
    </row>
    <row r="33" spans="2:6" ht="14.5" x14ac:dyDescent="0.35">
      <c r="B33" s="60" t="s">
        <v>98</v>
      </c>
      <c r="C33" s="64">
        <v>12</v>
      </c>
      <c r="D33" s="62"/>
      <c r="F33" s="63"/>
    </row>
    <row r="34" spans="2:6" ht="6.75" customHeight="1" x14ac:dyDescent="0.25">
      <c r="B34" s="66"/>
      <c r="C34" s="42"/>
    </row>
    <row r="35" spans="2:6" ht="14.5" x14ac:dyDescent="0.35">
      <c r="B35" s="60" t="s">
        <v>99</v>
      </c>
      <c r="C35" s="67"/>
      <c r="D35" s="62"/>
    </row>
    <row r="36" spans="2:6" ht="14.5" x14ac:dyDescent="0.35">
      <c r="B36" s="60" t="s">
        <v>100</v>
      </c>
      <c r="C36" s="67"/>
      <c r="D36" s="62"/>
    </row>
    <row r="37" spans="2:6" ht="14.5" x14ac:dyDescent="0.35">
      <c r="B37" s="60" t="s">
        <v>101</v>
      </c>
      <c r="C37" s="67"/>
      <c r="D37" s="62"/>
    </row>
    <row r="38" spans="2:6" ht="14.5" x14ac:dyDescent="0.35">
      <c r="B38" s="60" t="s">
        <v>102</v>
      </c>
      <c r="C38" s="67"/>
      <c r="D38" s="65"/>
    </row>
    <row r="39" spans="2:6" ht="14.5" x14ac:dyDescent="0.35">
      <c r="B39" s="60" t="s">
        <v>103</v>
      </c>
      <c r="C39" s="67"/>
      <c r="D39" s="62"/>
    </row>
    <row r="40" spans="2:6" x14ac:dyDescent="0.25">
      <c r="B40" s="60"/>
      <c r="C40" s="67"/>
    </row>
    <row r="41" spans="2:6" ht="14.5" x14ac:dyDescent="0.35">
      <c r="B41" s="68"/>
      <c r="C41" s="69" t="s">
        <v>104</v>
      </c>
      <c r="D41" s="70" t="s">
        <v>105</v>
      </c>
    </row>
    <row r="42" spans="2:6" ht="14.5" x14ac:dyDescent="0.35">
      <c r="B42" s="71" t="s">
        <v>106</v>
      </c>
      <c r="C42" s="72">
        <v>6</v>
      </c>
      <c r="D42" s="73" t="s">
        <v>107</v>
      </c>
    </row>
    <row r="43" spans="2:6" ht="14.5" x14ac:dyDescent="0.35">
      <c r="B43" s="71" t="s">
        <v>108</v>
      </c>
      <c r="C43" s="72">
        <v>6</v>
      </c>
      <c r="D43" s="73" t="s">
        <v>109</v>
      </c>
    </row>
    <row r="44" spans="2:6" x14ac:dyDescent="0.25">
      <c r="B44" s="71" t="s">
        <v>110</v>
      </c>
      <c r="C44" s="74">
        <v>0.05</v>
      </c>
      <c r="D44" s="73" t="s">
        <v>111</v>
      </c>
    </row>
    <row r="45" spans="2:6" ht="14.5" x14ac:dyDescent="0.35">
      <c r="B45" s="71" t="s">
        <v>112</v>
      </c>
      <c r="C45" s="75">
        <v>0.05</v>
      </c>
      <c r="D45" s="73" t="s">
        <v>113</v>
      </c>
    </row>
    <row r="46" spans="2:6" x14ac:dyDescent="0.25">
      <c r="B46" s="71" t="s">
        <v>114</v>
      </c>
      <c r="C46" s="76">
        <v>2.5</v>
      </c>
      <c r="D46" s="73" t="s">
        <v>115</v>
      </c>
    </row>
    <row r="47" spans="2:6" ht="14.5" x14ac:dyDescent="0.35">
      <c r="B47" s="77" t="s">
        <v>116</v>
      </c>
      <c r="C47" s="78">
        <v>10</v>
      </c>
      <c r="D47" s="79" t="s">
        <v>117</v>
      </c>
    </row>
    <row r="49" spans="2:5" ht="13" x14ac:dyDescent="0.3">
      <c r="B49" s="80" t="s">
        <v>118</v>
      </c>
    </row>
    <row r="51" spans="2:5" x14ac:dyDescent="0.25">
      <c r="B51" s="81" t="s">
        <v>119</v>
      </c>
      <c r="C51" s="42">
        <v>45</v>
      </c>
      <c r="D51" s="39" t="s">
        <v>120</v>
      </c>
    </row>
    <row r="52" spans="2:5" x14ac:dyDescent="0.25">
      <c r="B52" s="81"/>
      <c r="C52" s="42">
        <v>2</v>
      </c>
      <c r="D52" s="39" t="s">
        <v>121</v>
      </c>
    </row>
    <row r="55" spans="2:5" ht="15" thickBot="1" x14ac:dyDescent="0.4">
      <c r="B55" s="49" t="s">
        <v>122</v>
      </c>
      <c r="E55" s="82"/>
    </row>
    <row r="56" spans="2:5" x14ac:dyDescent="0.25">
      <c r="B56" s="83" t="s">
        <v>123</v>
      </c>
      <c r="C56" s="84">
        <v>29.62</v>
      </c>
      <c r="D56" s="85" t="s">
        <v>124</v>
      </c>
    </row>
    <row r="57" spans="2:5" x14ac:dyDescent="0.25">
      <c r="B57" s="86" t="s">
        <v>125</v>
      </c>
      <c r="C57" s="87">
        <v>2.1</v>
      </c>
      <c r="D57" s="88" t="s">
        <v>126</v>
      </c>
    </row>
    <row r="58" spans="2:5" x14ac:dyDescent="0.25">
      <c r="B58" s="86" t="s">
        <v>127</v>
      </c>
      <c r="C58" s="89">
        <v>53</v>
      </c>
      <c r="D58" s="88" t="s">
        <v>128</v>
      </c>
    </row>
    <row r="59" spans="2:5" x14ac:dyDescent="0.25">
      <c r="B59" s="86"/>
      <c r="C59" s="87"/>
      <c r="D59" s="88"/>
    </row>
    <row r="60" spans="2:5" x14ac:dyDescent="0.25">
      <c r="B60" s="86" t="s">
        <v>129</v>
      </c>
      <c r="C60" s="90">
        <v>86</v>
      </c>
      <c r="D60" s="91" t="s">
        <v>128</v>
      </c>
    </row>
    <row r="61" spans="2:5" x14ac:dyDescent="0.25">
      <c r="B61" s="92" t="s">
        <v>130</v>
      </c>
      <c r="C61" s="90">
        <v>210</v>
      </c>
      <c r="D61" s="93" t="s">
        <v>131</v>
      </c>
    </row>
    <row r="62" spans="2:5" x14ac:dyDescent="0.25">
      <c r="B62" s="94" t="s">
        <v>132</v>
      </c>
      <c r="C62" s="90">
        <v>86</v>
      </c>
      <c r="D62" s="91" t="s">
        <v>133</v>
      </c>
    </row>
    <row r="63" spans="2:5" x14ac:dyDescent="0.25">
      <c r="B63" s="95" t="s">
        <v>134</v>
      </c>
      <c r="C63" s="90">
        <v>55</v>
      </c>
      <c r="D63" s="91" t="s">
        <v>128</v>
      </c>
    </row>
    <row r="64" spans="2:5" x14ac:dyDescent="0.25">
      <c r="B64" s="95" t="s">
        <v>135</v>
      </c>
      <c r="C64" s="90">
        <f>342/12</f>
        <v>28.5</v>
      </c>
      <c r="D64" s="91" t="s">
        <v>136</v>
      </c>
    </row>
    <row r="65" spans="2:7" x14ac:dyDescent="0.25">
      <c r="B65" s="95"/>
      <c r="C65" s="90"/>
      <c r="D65" s="91"/>
    </row>
    <row r="66" spans="2:7" ht="15.5" x14ac:dyDescent="0.35">
      <c r="B66" s="95" t="s">
        <v>137</v>
      </c>
      <c r="C66" s="96">
        <f>C16/2080</f>
        <v>1.9230769230769232E-2</v>
      </c>
      <c r="D66" s="91" t="s">
        <v>138</v>
      </c>
      <c r="F66" s="41"/>
      <c r="G66" s="41"/>
    </row>
    <row r="67" spans="2:7" x14ac:dyDescent="0.25">
      <c r="B67" s="92" t="s">
        <v>139</v>
      </c>
      <c r="C67" s="90">
        <v>250</v>
      </c>
      <c r="D67" s="91" t="s">
        <v>140</v>
      </c>
    </row>
    <row r="68" spans="2:7" x14ac:dyDescent="0.25">
      <c r="B68" s="97"/>
      <c r="C68" s="98"/>
      <c r="D68" s="99"/>
    </row>
    <row r="69" spans="2:7" ht="13" thickBot="1" x14ac:dyDescent="0.3">
      <c r="B69" s="100" t="s">
        <v>141</v>
      </c>
      <c r="C69" s="101">
        <v>7.0000000000000007E-2</v>
      </c>
      <c r="D69" s="102" t="s">
        <v>142</v>
      </c>
    </row>
  </sheetData>
  <mergeCells count="4">
    <mergeCell ref="B1:H1"/>
    <mergeCell ref="B6:D6"/>
    <mergeCell ref="B12:D12"/>
    <mergeCell ref="B25:C25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9D653-99E1-4204-92B4-C33DAC2E2391}">
  <sheetPr codeName="Sheet3"/>
  <dimension ref="B1:R67"/>
  <sheetViews>
    <sheetView zoomScaleNormal="100" workbookViewId="0">
      <selection activeCell="G37" sqref="G37"/>
    </sheetView>
  </sheetViews>
  <sheetFormatPr defaultColWidth="9.1796875" defaultRowHeight="12.5" x14ac:dyDescent="0.25"/>
  <cols>
    <col min="1" max="1" width="6" style="39" customWidth="1"/>
    <col min="2" max="2" width="55.26953125" style="39" customWidth="1"/>
    <col min="3" max="3" width="23.1796875" style="39" customWidth="1"/>
    <col min="4" max="4" width="20.453125" style="39" customWidth="1"/>
    <col min="5" max="5" width="14.54296875" style="39" customWidth="1"/>
    <col min="6" max="6" width="14.81640625" style="39" customWidth="1"/>
    <col min="7" max="7" width="17" style="39" customWidth="1"/>
    <col min="8" max="8" width="18.81640625" style="39" customWidth="1"/>
    <col min="9" max="9" width="16" style="39" customWidth="1"/>
    <col min="10" max="10" width="12.1796875" style="39" customWidth="1"/>
    <col min="11" max="11" width="16" style="39" customWidth="1"/>
    <col min="12" max="12" width="10.7265625" style="39" customWidth="1"/>
    <col min="13" max="13" width="10.54296875" style="39" customWidth="1"/>
    <col min="14" max="14" width="11.26953125" style="39" customWidth="1"/>
    <col min="15" max="15" width="14.1796875" style="39" customWidth="1"/>
    <col min="16" max="16" width="11.453125" style="39" customWidth="1"/>
    <col min="17" max="16384" width="9.1796875" style="39"/>
  </cols>
  <sheetData>
    <row r="1" spans="2:16" ht="20" thickBot="1" x14ac:dyDescent="0.5">
      <c r="B1" s="145"/>
      <c r="C1" s="145"/>
      <c r="D1" s="145"/>
      <c r="E1" s="145"/>
      <c r="F1" s="145"/>
      <c r="G1" s="145"/>
      <c r="H1" s="145"/>
      <c r="I1" s="145"/>
      <c r="J1" s="145"/>
    </row>
    <row r="2" spans="2:16" ht="14.5" customHeight="1" thickTop="1" x14ac:dyDescent="0.25">
      <c r="I2" s="40"/>
    </row>
    <row r="3" spans="2:16" ht="15.75" customHeight="1" x14ac:dyDescent="0.25">
      <c r="C3" s="42" t="s">
        <v>143</v>
      </c>
    </row>
    <row r="4" spans="2:16" ht="15.75" customHeight="1" x14ac:dyDescent="0.25">
      <c r="B4" s="81" t="s">
        <v>90</v>
      </c>
      <c r="C4" s="103">
        <v>1</v>
      </c>
    </row>
    <row r="5" spans="2:16" ht="15.75" customHeight="1" x14ac:dyDescent="0.25">
      <c r="B5" s="81" t="s">
        <v>106</v>
      </c>
      <c r="C5" s="74">
        <f>'Per FTE cost'!C4/'Rate Assumption '!C42</f>
        <v>0.16666666666666666</v>
      </c>
    </row>
    <row r="6" spans="2:16" ht="15.75" customHeight="1" x14ac:dyDescent="0.25">
      <c r="C6" s="103"/>
    </row>
    <row r="7" spans="2:16" ht="15.75" customHeight="1" x14ac:dyDescent="0.25">
      <c r="B7" s="81" t="s">
        <v>88</v>
      </c>
      <c r="C7" s="103">
        <v>1</v>
      </c>
    </row>
    <row r="8" spans="2:16" ht="15.75" customHeight="1" x14ac:dyDescent="0.25">
      <c r="B8" s="81" t="s">
        <v>106</v>
      </c>
      <c r="C8" s="74">
        <f>C7/'Rate Assumption '!C42</f>
        <v>0.16666666666666666</v>
      </c>
    </row>
    <row r="9" spans="2:16" ht="15.75" customHeight="1" x14ac:dyDescent="0.25">
      <c r="B9" s="81"/>
      <c r="C9" s="103"/>
    </row>
    <row r="10" spans="2:16" ht="15.75" customHeight="1" x14ac:dyDescent="0.25">
      <c r="B10" s="81" t="s">
        <v>108</v>
      </c>
      <c r="C10" s="74">
        <f>(C8+C5)/'Rate Assumption '!C43</f>
        <v>5.5555555555555552E-2</v>
      </c>
    </row>
    <row r="11" spans="2:16" ht="15.75" customHeight="1" x14ac:dyDescent="0.25">
      <c r="B11" s="81" t="s">
        <v>114</v>
      </c>
      <c r="C11" s="74">
        <f>C10/'Rate Assumption '!C46</f>
        <v>2.222222222222222E-2</v>
      </c>
    </row>
    <row r="12" spans="2:16" ht="15.75" customHeight="1" x14ac:dyDescent="0.25">
      <c r="B12" s="81" t="s">
        <v>144</v>
      </c>
      <c r="C12" s="74">
        <f>ROUND(SUM(C4:C11)/'Rate Assumption '!C47,1)</f>
        <v>0.2</v>
      </c>
    </row>
    <row r="13" spans="2:16" ht="15.75" customHeight="1" x14ac:dyDescent="0.25">
      <c r="B13" s="81" t="s">
        <v>145</v>
      </c>
      <c r="C13" s="74">
        <v>0.05</v>
      </c>
    </row>
    <row r="14" spans="2:16" ht="15.75" customHeight="1" x14ac:dyDescent="0.25">
      <c r="B14" s="81" t="s">
        <v>146</v>
      </c>
      <c r="C14" s="104">
        <v>0.05</v>
      </c>
    </row>
    <row r="15" spans="2:16" ht="15.75" customHeight="1" x14ac:dyDescent="0.25">
      <c r="B15" s="81"/>
      <c r="C15" s="103"/>
    </row>
    <row r="16" spans="2:16" ht="14.5" x14ac:dyDescent="0.35">
      <c r="C16" s="105" t="s">
        <v>147</v>
      </c>
      <c r="D16" s="105" t="s">
        <v>32</v>
      </c>
      <c r="E16" s="106" t="s">
        <v>23</v>
      </c>
      <c r="F16" s="106" t="s">
        <v>35</v>
      </c>
      <c r="G16" s="106" t="s">
        <v>148</v>
      </c>
      <c r="H16" s="106" t="s">
        <v>1</v>
      </c>
      <c r="I16" s="107" t="s">
        <v>45</v>
      </c>
      <c r="J16" s="107" t="s">
        <v>19</v>
      </c>
      <c r="K16" s="107" t="s">
        <v>50</v>
      </c>
      <c r="L16" s="107" t="s">
        <v>30</v>
      </c>
      <c r="M16" s="107" t="s">
        <v>14</v>
      </c>
      <c r="N16" s="108" t="s">
        <v>29</v>
      </c>
      <c r="O16" s="109"/>
      <c r="P16" s="109"/>
    </row>
    <row r="18" spans="2:17" ht="9.75" customHeight="1" x14ac:dyDescent="0.25">
      <c r="B18" s="81"/>
      <c r="C18" s="74"/>
    </row>
    <row r="19" spans="2:17" ht="15" customHeight="1" x14ac:dyDescent="0.3">
      <c r="C19" s="151" t="s">
        <v>149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10"/>
      <c r="P19" s="110"/>
    </row>
    <row r="20" spans="2:17" x14ac:dyDescent="0.25">
      <c r="B20" s="111" t="s">
        <v>90</v>
      </c>
      <c r="C20" s="112">
        <f>VLOOKUP(C$16,'[2]Regionalized Costs'!$B$15:$E$26,2,FALSE)*$C$4</f>
        <v>58266.666666666664</v>
      </c>
      <c r="D20" s="112">
        <f>VLOOKUP(D$16,'[2]Regionalized Costs'!$B$15:$E$26,2,FALSE)*$C$4</f>
        <v>58266.666666666664</v>
      </c>
      <c r="E20" s="112">
        <f>VLOOKUP(E$16,'[2]Regionalized Costs'!$B$15:$E$26,2,FALSE)*$C$4</f>
        <v>63366.666666666664</v>
      </c>
      <c r="F20" s="112">
        <f>VLOOKUP(F$16,'[2]Regionalized Costs'!$B$15:$E$26,2,FALSE)*$C$4</f>
        <v>63366.666666666664</v>
      </c>
      <c r="G20" s="112">
        <f>VLOOKUP(G$16,'[2]Regionalized Costs'!$B$15:$E$26,2,FALSE)*$C$4</f>
        <v>63366.666666666664</v>
      </c>
      <c r="H20" s="112">
        <f>VLOOKUP(H$16,'[2]Regionalized Costs'!$B$15:$E$26,2,FALSE)*$C$4</f>
        <v>63366.666666666664</v>
      </c>
      <c r="I20" s="112">
        <f>VLOOKUP(I$16,'[2]Regionalized Costs'!$B$15:$E$26,2,FALSE)*$C$4</f>
        <v>60260</v>
      </c>
      <c r="J20" s="112">
        <f>VLOOKUP(J$16,'[2]Regionalized Costs'!$B$15:$E$26,2,FALSE)*$C$4</f>
        <v>60260</v>
      </c>
      <c r="K20" s="112">
        <f>VLOOKUP(K$16,'[2]Regionalized Costs'!$B$15:$E$26,2,FALSE)*$C$4</f>
        <v>60260</v>
      </c>
      <c r="L20" s="112">
        <f>VLOOKUP(L$16,'[2]Regionalized Costs'!$B$15:$E$26,2,FALSE)*$C$4</f>
        <v>60260</v>
      </c>
      <c r="M20" s="112">
        <f>VLOOKUP(M$16,'[2]Regionalized Costs'!$B$15:$E$26,2,FALSE)*$C$4</f>
        <v>60260</v>
      </c>
      <c r="N20" s="112">
        <f>VLOOKUP(N$16,'[2]Regionalized Costs'!$B$15:$E$26,2,FALSE)*$C$4</f>
        <v>68300</v>
      </c>
      <c r="O20" s="112"/>
      <c r="P20" s="112"/>
      <c r="Q20" s="113"/>
    </row>
    <row r="21" spans="2:17" x14ac:dyDescent="0.25">
      <c r="B21" s="111" t="s">
        <v>88</v>
      </c>
      <c r="C21" s="112">
        <f>VLOOKUP(C$16,'[2]Regionalized Costs'!$B$15:$E$26,3,FALSE)*$C$7</f>
        <v>45900</v>
      </c>
      <c r="D21" s="112">
        <f>VLOOKUP(D$16,'[2]Regionalized Costs'!$B$15:$E$26,3,FALSE)*$C$7</f>
        <v>45900</v>
      </c>
      <c r="E21" s="112">
        <f>VLOOKUP(E$16,'[2]Regionalized Costs'!$B$15:$E$26,3,FALSE)*$C$7</f>
        <v>46933.333333333336</v>
      </c>
      <c r="F21" s="112">
        <f>VLOOKUP(F$16,'[2]Regionalized Costs'!$B$15:$E$26,3,FALSE)*$C$7</f>
        <v>46933.333333333336</v>
      </c>
      <c r="G21" s="112">
        <f>VLOOKUP(G$16,'[2]Regionalized Costs'!$B$15:$E$26,3,FALSE)*$C$7</f>
        <v>46933.333333333336</v>
      </c>
      <c r="H21" s="112">
        <f>VLOOKUP(H$16,'[2]Regionalized Costs'!$B$15:$E$26,3,FALSE)*$C$7</f>
        <v>46933.333333333336</v>
      </c>
      <c r="I21" s="112">
        <f>VLOOKUP(I$16,'[2]Regionalized Costs'!$B$15:$E$26,3,FALSE)*$C$7</f>
        <v>46540</v>
      </c>
      <c r="J21" s="112">
        <f>VLOOKUP(J$16,'[2]Regionalized Costs'!$B$15:$E$26,3,FALSE)*$C$7</f>
        <v>46540</v>
      </c>
      <c r="K21" s="112">
        <f>VLOOKUP(K$16,'[2]Regionalized Costs'!$B$15:$E$26,3,FALSE)*$C$7</f>
        <v>46540</v>
      </c>
      <c r="L21" s="112">
        <f>VLOOKUP(L$16,'[2]Regionalized Costs'!$B$15:$E$26,3,FALSE)*$C$7</f>
        <v>46540</v>
      </c>
      <c r="M21" s="112">
        <f>VLOOKUP(M$16,'[2]Regionalized Costs'!$B$15:$E$26,3,FALSE)*$C$7</f>
        <v>46540</v>
      </c>
      <c r="N21" s="112">
        <f>VLOOKUP(N$16,'[2]Regionalized Costs'!$B$15:$E$26,3,FALSE)*$C$7</f>
        <v>53000</v>
      </c>
      <c r="O21" s="112"/>
      <c r="P21" s="112"/>
      <c r="Q21" s="113"/>
    </row>
    <row r="22" spans="2:17" x14ac:dyDescent="0.25">
      <c r="B22" s="111" t="s">
        <v>106</v>
      </c>
      <c r="C22" s="112">
        <f>VLOOKUP(C16,'[2]Regionalized Costs'!$B$15:$G$26,5,FALSE)*($C$5+$C$8)</f>
        <v>22335.555555555551</v>
      </c>
      <c r="D22" s="112">
        <f>VLOOKUP(D16,'[2]Regionalized Costs'!$B$15:$G$26,5,FALSE)*($C$5+$C$8)</f>
        <v>22335.555555555551</v>
      </c>
      <c r="E22" s="112">
        <f>VLOOKUP(E16,'[2]Regionalized Costs'!$B$15:$G$26,5,FALSE)*($C$5+$C$8)</f>
        <v>24290.555555555551</v>
      </c>
      <c r="F22" s="112">
        <f>VLOOKUP(F16,'[2]Regionalized Costs'!$B$15:$G$26,5,FALSE)*($C$5+$C$8)</f>
        <v>24290.555555555551</v>
      </c>
      <c r="G22" s="112">
        <f>VLOOKUP(G16,'[2]Regionalized Costs'!$B$15:$G$26,5,FALSE)*($C$5+$C$8)</f>
        <v>24290.555555555551</v>
      </c>
      <c r="H22" s="112">
        <f>VLOOKUP(H16,'[2]Regionalized Costs'!$B$15:$G$26,5,FALSE)*($C$5+$C$8)</f>
        <v>24290.555555555551</v>
      </c>
      <c r="I22" s="112">
        <f>VLOOKUP(I16,'[2]Regionalized Costs'!$B$15:$G$26,5,FALSE)*($C$5+$C$8)</f>
        <v>23099.666666666664</v>
      </c>
      <c r="J22" s="112">
        <f>VLOOKUP(J16,'[2]Regionalized Costs'!$B$15:$G$26,5,FALSE)*($C$5+$C$8)</f>
        <v>23099.666666666664</v>
      </c>
      <c r="K22" s="112">
        <f>VLOOKUP(K16,'[2]Regionalized Costs'!$B$15:$G$26,5,FALSE)*($C$5+$C$8)</f>
        <v>23099.666666666664</v>
      </c>
      <c r="L22" s="112">
        <f>VLOOKUP(L16,'[2]Regionalized Costs'!$B$15:$G$26,5,FALSE)*($C$5+$C$8)</f>
        <v>23099.666666666664</v>
      </c>
      <c r="M22" s="112">
        <f>VLOOKUP(M16,'[2]Regionalized Costs'!$B$15:$G$26,5,FALSE)*($C$5+$C$8)</f>
        <v>23099.666666666664</v>
      </c>
      <c r="N22" s="112">
        <f>VLOOKUP(N16,'[2]Regionalized Costs'!$B$15:$G$26,5,FALSE)*($C$5+$C$8)</f>
        <v>26181.666666666664</v>
      </c>
      <c r="O22" s="112"/>
      <c r="P22" s="112"/>
      <c r="Q22" s="113"/>
    </row>
    <row r="23" spans="2:17" x14ac:dyDescent="0.25"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2:17" x14ac:dyDescent="0.25">
      <c r="B24" s="111" t="s">
        <v>108</v>
      </c>
      <c r="C24" s="112">
        <f>VLOOKUP(C16,'[2]Regionalized Costs'!$B$15:$G$26,6,FALSE)*$C$10</f>
        <v>4280.9814814814808</v>
      </c>
      <c r="D24" s="112">
        <f>VLOOKUP(D16,'[2]Regionalized Costs'!$B$15:$G$26,6,FALSE)*$C$10</f>
        <v>4280.9814814814808</v>
      </c>
      <c r="E24" s="112">
        <f>VLOOKUP(E16,'[2]Regionalized Costs'!$B$15:$G$26,6,FALSE)*$C$10</f>
        <v>4655.6898148148139</v>
      </c>
      <c r="F24" s="112">
        <f>VLOOKUP(F16,'[2]Regionalized Costs'!$B$15:$G$26,6,FALSE)*$C$10</f>
        <v>4655.6898148148139</v>
      </c>
      <c r="G24" s="112">
        <f>VLOOKUP(G16,'[2]Regionalized Costs'!$B$15:$G$26,6,FALSE)*$C$10</f>
        <v>4655.6898148148139</v>
      </c>
      <c r="H24" s="112">
        <f>VLOOKUP(H16,'[2]Regionalized Costs'!$B$15:$G$26,6,FALSE)*$C$10</f>
        <v>4655.6898148148139</v>
      </c>
      <c r="I24" s="112">
        <f>VLOOKUP(I16,'[2]Regionalized Costs'!$B$15:$G$26,6,FALSE)*$C$10</f>
        <v>4427.4361111111111</v>
      </c>
      <c r="J24" s="112">
        <f>VLOOKUP(J16,'[2]Regionalized Costs'!$B$15:$G$26,6,FALSE)*$C$10</f>
        <v>4427.4361111111111</v>
      </c>
      <c r="K24" s="112">
        <f>VLOOKUP(K16,'[2]Regionalized Costs'!$B$15:$G$26,6,FALSE)*$C$10</f>
        <v>4427.4361111111111</v>
      </c>
      <c r="L24" s="112">
        <f>VLOOKUP(L16,'[2]Regionalized Costs'!$B$15:$G$26,6,FALSE)*$C$10</f>
        <v>4427.4361111111111</v>
      </c>
      <c r="M24" s="112">
        <f>VLOOKUP(M16,'[2]Regionalized Costs'!$B$15:$G$26,6,FALSE)*$C$10</f>
        <v>4427.4361111111111</v>
      </c>
      <c r="N24" s="112">
        <f>VLOOKUP(N16,'[2]Regionalized Costs'!$B$15:$G$26,6,FALSE)*$C$10</f>
        <v>5018.1527777777774</v>
      </c>
      <c r="O24" s="112"/>
      <c r="P24" s="112"/>
      <c r="Q24" s="113"/>
    </row>
    <row r="25" spans="2:17" x14ac:dyDescent="0.25">
      <c r="B25" s="71" t="s">
        <v>150</v>
      </c>
      <c r="C25" s="112">
        <f>VLOOKUP(C16,'[2]Regionalized Costs'!$B$15:$G$26,6,FALSE)*$C$13</f>
        <v>3852.8833333333332</v>
      </c>
      <c r="D25" s="112">
        <f>VLOOKUP(D16,'[2]Regionalized Costs'!$B$15:$G$26,6,FALSE)*$C$13</f>
        <v>3852.8833333333332</v>
      </c>
      <c r="E25" s="112">
        <f>VLOOKUP(E16,'[2]Regionalized Costs'!$B$15:$G$26,6,FALSE)*$C$13</f>
        <v>4190.1208333333334</v>
      </c>
      <c r="F25" s="112">
        <f>VLOOKUP(F16,'[2]Regionalized Costs'!$B$15:$G$26,6,FALSE)*$C$13</f>
        <v>4190.1208333333334</v>
      </c>
      <c r="G25" s="112">
        <f>VLOOKUP(G16,'[2]Regionalized Costs'!$B$15:$G$26,6,FALSE)*$C$13</f>
        <v>4190.1208333333334</v>
      </c>
      <c r="H25" s="112">
        <f>VLOOKUP(H16,'[2]Regionalized Costs'!$B$15:$G$26,6,FALSE)*$C$13</f>
        <v>4190.1208333333334</v>
      </c>
      <c r="I25" s="112">
        <f>VLOOKUP(I16,'[2]Regionalized Costs'!$B$15:$G$26,6,FALSE)*$C$13</f>
        <v>3984.6925000000006</v>
      </c>
      <c r="J25" s="112">
        <f>VLOOKUP(J16,'[2]Regionalized Costs'!$B$15:$G$26,6,FALSE)*$C$13</f>
        <v>3984.6925000000006</v>
      </c>
      <c r="K25" s="112">
        <f>VLOOKUP(K16,'[2]Regionalized Costs'!$B$15:$G$26,6,FALSE)*$C$13</f>
        <v>3984.6925000000006</v>
      </c>
      <c r="L25" s="112">
        <f>VLOOKUP(L16,'[2]Regionalized Costs'!$B$15:$G$26,6,FALSE)*$C$13</f>
        <v>3984.6925000000006</v>
      </c>
      <c r="M25" s="112">
        <f>VLOOKUP(M16,'[2]Regionalized Costs'!$B$15:$G$26,6,FALSE)*$C$13</f>
        <v>3984.6925000000006</v>
      </c>
      <c r="N25" s="112">
        <f>VLOOKUP(N16,'[2]Regionalized Costs'!$B$15:$G$26,6,FALSE)*$C$13</f>
        <v>4516.3375000000005</v>
      </c>
      <c r="O25" s="112"/>
      <c r="P25" s="112"/>
      <c r="Q25" s="112"/>
    </row>
    <row r="26" spans="2:17" x14ac:dyDescent="0.25">
      <c r="B26" s="77" t="s">
        <v>114</v>
      </c>
      <c r="C26" s="112">
        <f>(C20*1.728)*$C$11</f>
        <v>2237.4399999999996</v>
      </c>
      <c r="D26" s="112">
        <f t="shared" ref="D26:N26" si="0">(D20*1.728)*$C$11</f>
        <v>2237.4399999999996</v>
      </c>
      <c r="E26" s="112">
        <f t="shared" si="0"/>
        <v>2433.2799999999997</v>
      </c>
      <c r="F26" s="112">
        <f t="shared" si="0"/>
        <v>2433.2799999999997</v>
      </c>
      <c r="G26" s="112">
        <f t="shared" si="0"/>
        <v>2433.2799999999997</v>
      </c>
      <c r="H26" s="112">
        <f t="shared" si="0"/>
        <v>2433.2799999999997</v>
      </c>
      <c r="I26" s="112">
        <f t="shared" si="0"/>
        <v>2313.9839999999999</v>
      </c>
      <c r="J26" s="112">
        <f t="shared" si="0"/>
        <v>2313.9839999999999</v>
      </c>
      <c r="K26" s="112">
        <f t="shared" si="0"/>
        <v>2313.9839999999999</v>
      </c>
      <c r="L26" s="112">
        <f t="shared" si="0"/>
        <v>2313.9839999999999</v>
      </c>
      <c r="M26" s="112">
        <f t="shared" si="0"/>
        <v>2313.9839999999999</v>
      </c>
      <c r="N26" s="112">
        <f t="shared" si="0"/>
        <v>2622.7199999999993</v>
      </c>
      <c r="O26" s="112"/>
      <c r="P26" s="112"/>
      <c r="Q26" s="113"/>
    </row>
    <row r="27" spans="2:17" x14ac:dyDescent="0.25">
      <c r="B27" s="77" t="s">
        <v>144</v>
      </c>
      <c r="C27" s="112">
        <f>VLOOKUP(C$16,'[2]Regionalized Costs'!$B$15:$E$26,4,FALSE)*$C$12</f>
        <v>9626.6666666666679</v>
      </c>
      <c r="D27" s="112">
        <f>VLOOKUP(D$16,'[2]Regionalized Costs'!$B$15:$E$26,4,FALSE)*$C$12</f>
        <v>9626.6666666666679</v>
      </c>
      <c r="E27" s="112">
        <f>VLOOKUP(E$16,'[2]Regionalized Costs'!$B$15:$E$26,4,FALSE)*$C$12</f>
        <v>10100</v>
      </c>
      <c r="F27" s="112">
        <f>VLOOKUP(F$16,'[2]Regionalized Costs'!$B$15:$E$26,4,FALSE)*$C$12</f>
        <v>10100</v>
      </c>
      <c r="G27" s="112">
        <f>VLOOKUP(G$16,'[2]Regionalized Costs'!$B$15:$E$26,4,FALSE)*$C$12</f>
        <v>10100</v>
      </c>
      <c r="H27" s="112">
        <f>VLOOKUP(H$16,'[2]Regionalized Costs'!$B$15:$E$26,4,FALSE)*$C$12</f>
        <v>10100</v>
      </c>
      <c r="I27" s="112">
        <f>VLOOKUP(I$16,'[2]Regionalized Costs'!$B$15:$E$26,4,FALSE)*$C$12</f>
        <v>9816</v>
      </c>
      <c r="J27" s="112">
        <f>VLOOKUP(J$16,'[2]Regionalized Costs'!$B$15:$E$26,4,FALSE)*$C$12</f>
        <v>9816</v>
      </c>
      <c r="K27" s="112">
        <f>VLOOKUP(K$16,'[2]Regionalized Costs'!$B$15:$E$26,4,FALSE)*$C$12</f>
        <v>9816</v>
      </c>
      <c r="L27" s="112">
        <f>VLOOKUP(L$16,'[2]Regionalized Costs'!$B$15:$E$26,4,FALSE)*$C$12</f>
        <v>9816</v>
      </c>
      <c r="M27" s="112">
        <f>VLOOKUP(M$16,'[2]Regionalized Costs'!$B$15:$E$26,4,FALSE)*$C$12</f>
        <v>9816</v>
      </c>
      <c r="N27" s="112">
        <f>VLOOKUP(N$16,'[2]Regionalized Costs'!$B$15:$E$26,4,FALSE)*$C$12</f>
        <v>10720</v>
      </c>
      <c r="O27" s="112"/>
      <c r="P27" s="112"/>
      <c r="Q27" s="113"/>
    </row>
    <row r="28" spans="2:17" x14ac:dyDescent="0.25">
      <c r="B28" s="81" t="s">
        <v>146</v>
      </c>
      <c r="C28" s="112">
        <f>$C$14*C20</f>
        <v>2913.3333333333335</v>
      </c>
      <c r="D28" s="112">
        <f t="shared" ref="D28:N28" si="1">$C$14*D20</f>
        <v>2913.3333333333335</v>
      </c>
      <c r="E28" s="112">
        <f t="shared" si="1"/>
        <v>3168.3333333333335</v>
      </c>
      <c r="F28" s="112">
        <f t="shared" si="1"/>
        <v>3168.3333333333335</v>
      </c>
      <c r="G28" s="112">
        <f t="shared" si="1"/>
        <v>3168.3333333333335</v>
      </c>
      <c r="H28" s="112">
        <f t="shared" si="1"/>
        <v>3168.3333333333335</v>
      </c>
      <c r="I28" s="112">
        <f t="shared" si="1"/>
        <v>3013</v>
      </c>
      <c r="J28" s="112">
        <f t="shared" si="1"/>
        <v>3013</v>
      </c>
      <c r="K28" s="112">
        <f t="shared" si="1"/>
        <v>3013</v>
      </c>
      <c r="L28" s="112">
        <f t="shared" si="1"/>
        <v>3013</v>
      </c>
      <c r="M28" s="112">
        <f t="shared" si="1"/>
        <v>3013</v>
      </c>
      <c r="N28" s="112">
        <f t="shared" si="1"/>
        <v>3415</v>
      </c>
      <c r="O28" s="112"/>
    </row>
    <row r="29" spans="2:17" x14ac:dyDescent="0.25">
      <c r="Q29" s="113"/>
    </row>
    <row r="30" spans="2:17" ht="13" x14ac:dyDescent="0.3">
      <c r="B30" s="114" t="s">
        <v>151</v>
      </c>
      <c r="C30" s="115">
        <f>SUM(C20:C29)</f>
        <v>149413.52703703701</v>
      </c>
      <c r="D30" s="115">
        <f t="shared" ref="D30:N30" si="2">SUM(D20:D29)</f>
        <v>149413.52703703701</v>
      </c>
      <c r="E30" s="115">
        <f t="shared" si="2"/>
        <v>159137.97953703703</v>
      </c>
      <c r="F30" s="115">
        <f t="shared" si="2"/>
        <v>159137.97953703703</v>
      </c>
      <c r="G30" s="115">
        <f t="shared" si="2"/>
        <v>159137.97953703703</v>
      </c>
      <c r="H30" s="115">
        <f t="shared" si="2"/>
        <v>159137.97953703703</v>
      </c>
      <c r="I30" s="115">
        <f t="shared" si="2"/>
        <v>153454.77927777776</v>
      </c>
      <c r="J30" s="115">
        <f t="shared" si="2"/>
        <v>153454.77927777776</v>
      </c>
      <c r="K30" s="115">
        <f t="shared" si="2"/>
        <v>153454.77927777776</v>
      </c>
      <c r="L30" s="115">
        <f t="shared" si="2"/>
        <v>153454.77927777776</v>
      </c>
      <c r="M30" s="115">
        <f t="shared" si="2"/>
        <v>153454.77927777776</v>
      </c>
      <c r="N30" s="115">
        <f t="shared" si="2"/>
        <v>173773.87694444443</v>
      </c>
      <c r="O30" s="115"/>
      <c r="P30" s="115"/>
      <c r="Q30" s="113"/>
    </row>
    <row r="31" spans="2:17" ht="13" x14ac:dyDescent="0.3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3"/>
    </row>
    <row r="32" spans="2:17" ht="13" x14ac:dyDescent="0.3">
      <c r="B32" s="81" t="s">
        <v>119</v>
      </c>
      <c r="C32" s="115">
        <f>('Rate Assumption '!$C$52*('Rate Assumption '!$C$51/60)/2080)*C20*18.4</f>
        <v>773.15384615384608</v>
      </c>
      <c r="D32" s="115">
        <f>('Rate Assumption '!$C$52*('Rate Assumption '!$C$51/60)/2080)*D20*18.4</f>
        <v>773.15384615384608</v>
      </c>
      <c r="E32" s="115">
        <f>('Rate Assumption '!$C$52*('Rate Assumption '!$C$51/60)/2080)*E20*18.4</f>
        <v>840.82692307692309</v>
      </c>
      <c r="F32" s="115">
        <f>('Rate Assumption '!$C$52*('Rate Assumption '!$C$51/60)/2080)*F20*18.4</f>
        <v>840.82692307692309</v>
      </c>
      <c r="G32" s="115">
        <f>('Rate Assumption '!$C$52*('Rate Assumption '!$C$51/60)/2080)*G20*18.4</f>
        <v>840.82692307692309</v>
      </c>
      <c r="H32" s="115">
        <f>('Rate Assumption '!$C$52*('Rate Assumption '!$C$51/60)/2080)*H20*18.4</f>
        <v>840.82692307692309</v>
      </c>
      <c r="I32" s="115">
        <f>('Rate Assumption '!$C$52*('Rate Assumption '!$C$51/60)/2080)*I20*18.4</f>
        <v>799.60384615384612</v>
      </c>
      <c r="J32" s="115">
        <f>('Rate Assumption '!$C$52*('Rate Assumption '!$C$51/60)/2080)*J20*18.4</f>
        <v>799.60384615384612</v>
      </c>
      <c r="K32" s="115">
        <f>('Rate Assumption '!$C$52*('Rate Assumption '!$C$51/60)/2080)*K20*18.4</f>
        <v>799.60384615384612</v>
      </c>
      <c r="L32" s="115">
        <f>('Rate Assumption '!$C$52*('Rate Assumption '!$C$51/60)/2080)*L20*18.4</f>
        <v>799.60384615384612</v>
      </c>
      <c r="M32" s="115">
        <f>('Rate Assumption '!$C$52*('Rate Assumption '!$C$51/60)/2080)*M20*18.4</f>
        <v>799.60384615384612</v>
      </c>
      <c r="N32" s="115">
        <f>('Rate Assumption '!$C$52*('Rate Assumption '!$C$51/60)/2080)*N20*18.4</f>
        <v>906.28846153846143</v>
      </c>
      <c r="O32" s="115"/>
      <c r="P32" s="115"/>
      <c r="Q32" s="113"/>
    </row>
    <row r="33" spans="2:6" x14ac:dyDescent="0.25">
      <c r="C33" s="116"/>
    </row>
    <row r="35" spans="2:6" ht="15" thickBot="1" x14ac:dyDescent="0.4">
      <c r="C35" s="42" t="s">
        <v>152</v>
      </c>
      <c r="D35" s="117"/>
    </row>
    <row r="36" spans="2:6" x14ac:dyDescent="0.25">
      <c r="B36" s="83" t="s">
        <v>123</v>
      </c>
      <c r="C36" s="90">
        <f>SUM(C4:C14)*100*'Rate Assumption '!C56</f>
        <v>8030.3111111111102</v>
      </c>
      <c r="E36" s="82"/>
      <c r="F36" s="82"/>
    </row>
    <row r="37" spans="2:6" x14ac:dyDescent="0.25">
      <c r="B37" s="86" t="s">
        <v>125</v>
      </c>
      <c r="C37" s="90">
        <f>'Rate Assumption '!C57*SUM('Per FTE cost'!C4:C14)*100*12</f>
        <v>6832</v>
      </c>
    </row>
    <row r="38" spans="2:6" x14ac:dyDescent="0.25">
      <c r="B38" s="86" t="s">
        <v>127</v>
      </c>
      <c r="C38" s="90">
        <f>'Rate Assumption '!C58*SUM(C4:C14)*12</f>
        <v>1724.2666666666664</v>
      </c>
    </row>
    <row r="39" spans="2:6" x14ac:dyDescent="0.25">
      <c r="B39" s="86"/>
      <c r="C39" s="90"/>
    </row>
    <row r="40" spans="2:6" x14ac:dyDescent="0.25">
      <c r="B40" s="86" t="s">
        <v>129</v>
      </c>
      <c r="C40" s="90">
        <f>'Rate Assumption '!C60*SUM(C4:C14)*12</f>
        <v>2797.8666666666663</v>
      </c>
    </row>
    <row r="41" spans="2:6" x14ac:dyDescent="0.25">
      <c r="B41" s="92" t="s">
        <v>130</v>
      </c>
      <c r="C41" s="90">
        <f>'Rate Assumption '!C61*(SUM(C4:C14))</f>
        <v>569.33333333333326</v>
      </c>
    </row>
    <row r="42" spans="2:6" x14ac:dyDescent="0.25">
      <c r="B42" s="94" t="s">
        <v>132</v>
      </c>
      <c r="C42" s="90">
        <f>'Rate Assumption '!C62*SUM($C$4:$C$13)*12</f>
        <v>2746.2666666666664</v>
      </c>
    </row>
    <row r="43" spans="2:6" x14ac:dyDescent="0.25">
      <c r="B43" s="95" t="s">
        <v>134</v>
      </c>
      <c r="C43" s="90">
        <f>'Rate Assumption '!C63*SUM($C$4:$C$14)*12</f>
        <v>1789.333333333333</v>
      </c>
    </row>
    <row r="44" spans="2:6" x14ac:dyDescent="0.25">
      <c r="B44" s="95" t="s">
        <v>153</v>
      </c>
      <c r="C44" s="90">
        <f>12*'Rate Assumption '!C64</f>
        <v>342</v>
      </c>
    </row>
    <row r="45" spans="2:6" x14ac:dyDescent="0.25">
      <c r="B45" s="95"/>
      <c r="C45" s="90"/>
    </row>
    <row r="46" spans="2:6" x14ac:dyDescent="0.25">
      <c r="B46" s="95" t="s">
        <v>137</v>
      </c>
      <c r="C46" s="90">
        <f>(C20+C21+C22+C28+C24)*'Rate Assumption '!C66</f>
        <v>2571.0872507122504</v>
      </c>
    </row>
    <row r="47" spans="2:6" x14ac:dyDescent="0.25">
      <c r="B47" s="92" t="s">
        <v>139</v>
      </c>
      <c r="C47" s="90">
        <f>'Rate Assumption '!C67*('Per FTE cost'!C4+'Per FTE cost'!C7)</f>
        <v>500</v>
      </c>
    </row>
    <row r="48" spans="2:6" x14ac:dyDescent="0.25">
      <c r="B48" s="97"/>
      <c r="C48" s="98"/>
    </row>
    <row r="49" spans="2:18" ht="13" thickBot="1" x14ac:dyDescent="0.3">
      <c r="B49" s="100" t="s">
        <v>154</v>
      </c>
      <c r="C49" s="90">
        <f>SUM(C20:C27)*'Rate Assumption '!C69</f>
        <v>10255.013559259258</v>
      </c>
    </row>
    <row r="50" spans="2:18" ht="14.5" x14ac:dyDescent="0.35">
      <c r="B50" s="118" t="s">
        <v>155</v>
      </c>
      <c r="C50" s="119">
        <f>SUM(C36:C49)</f>
        <v>38157.478587749283</v>
      </c>
    </row>
    <row r="51" spans="2:18" ht="15.5" x14ac:dyDescent="0.35">
      <c r="G51" s="41"/>
      <c r="H51" s="41"/>
      <c r="I51" s="41"/>
    </row>
    <row r="52" spans="2:18" x14ac:dyDescent="0.25">
      <c r="B52" s="45" t="s">
        <v>156</v>
      </c>
      <c r="C52" s="120">
        <f>SUM(C56:C58,$C$50,C30)*0.05*'Rate Assumption '!$C$8</f>
        <v>2136.8902499515671</v>
      </c>
      <c r="D52" s="120">
        <f>SUM(D56:D58,$C$50,D30)*0.05*'Rate Assumption '!$C$8</f>
        <v>2136.8902499515671</v>
      </c>
      <c r="E52" s="120">
        <f>SUM(E56:E58,$C$50,E30)*0.05*'Rate Assumption '!$C$8</f>
        <v>2243.8592274515672</v>
      </c>
      <c r="F52" s="120">
        <f>SUM(F56:F58,$C$50,F30)*0.05*'Rate Assumption '!$C$8</f>
        <v>2243.8592274515672</v>
      </c>
      <c r="G52" s="120">
        <f>SUM(G56:G58,$C$50,G30)*0.05*'Rate Assumption '!$C$8</f>
        <v>2243.8592274515672</v>
      </c>
      <c r="H52" s="120">
        <f>SUM(H56:H58,$C$50,H30)*0.05*'Rate Assumption '!$C$8</f>
        <v>2243.8592274515672</v>
      </c>
      <c r="I52" s="120">
        <f>SUM(I56:I58,$C$50,I30)*0.05*'Rate Assumption '!$C$8</f>
        <v>2181.3440245997149</v>
      </c>
      <c r="J52" s="120">
        <f>SUM(J56:J58,$C$50,J30)*0.05*'Rate Assumption '!$C$8</f>
        <v>2181.3440245997149</v>
      </c>
      <c r="K52" s="120">
        <f>SUM(K56:K58,$C$50,K30)*0.05*'Rate Assumption '!$C$8</f>
        <v>2181.3440245997149</v>
      </c>
      <c r="L52" s="120">
        <f>SUM(L56:L58,$C$50,L30)*0.05*'Rate Assumption '!$C$8</f>
        <v>2181.3440245997149</v>
      </c>
      <c r="M52" s="120">
        <f>SUM(M56:M58,$C$50,M30)*0.05*'Rate Assumption '!$C$8</f>
        <v>2181.3440245997149</v>
      </c>
      <c r="N52" s="120">
        <f>SUM(N56:N58,$C$50,N30)*0.05*'Rate Assumption '!$C$8</f>
        <v>2404.8540989330486</v>
      </c>
    </row>
    <row r="53" spans="2:18" x14ac:dyDescent="0.25">
      <c r="B53" s="45" t="s">
        <v>77</v>
      </c>
      <c r="C53" s="116">
        <f>C30*'Rate Assumption '!$C$9</f>
        <v>25400.299596296292</v>
      </c>
      <c r="D53" s="116">
        <f>D30*'Rate Assumption '!$C$9</f>
        <v>25400.299596296292</v>
      </c>
      <c r="E53" s="116">
        <f>E30*'Rate Assumption '!$C$9</f>
        <v>27053.456521296295</v>
      </c>
      <c r="F53" s="116">
        <f>F30*'Rate Assumption '!$C$9</f>
        <v>27053.456521296295</v>
      </c>
      <c r="G53" s="116">
        <f>G30*'Rate Assumption '!$C$9</f>
        <v>27053.456521296295</v>
      </c>
      <c r="H53" s="116">
        <f>H30*'Rate Assumption '!$C$9</f>
        <v>27053.456521296295</v>
      </c>
      <c r="I53" s="116">
        <f>I30*'Rate Assumption '!$C$9</f>
        <v>26087.312477222222</v>
      </c>
      <c r="J53" s="116">
        <f>J30*'Rate Assumption '!$C$9</f>
        <v>26087.312477222222</v>
      </c>
      <c r="K53" s="116">
        <f>K30*'Rate Assumption '!$C$9</f>
        <v>26087.312477222222</v>
      </c>
      <c r="L53" s="116">
        <f>L30*'Rate Assumption '!$C$9</f>
        <v>26087.312477222222</v>
      </c>
      <c r="M53" s="116">
        <f>M30*'Rate Assumption '!$C$9</f>
        <v>26087.312477222222</v>
      </c>
      <c r="N53" s="116">
        <f>N30*'Rate Assumption '!$C$9</f>
        <v>29541.559080555555</v>
      </c>
    </row>
    <row r="54" spans="2:18" x14ac:dyDescent="0.25">
      <c r="B54" s="45" t="s">
        <v>78</v>
      </c>
      <c r="C54" s="121">
        <f>SUM($C$50,C56:C58,C30)*'Rate Assumption '!$C$10</f>
        <v>3205.3353749273501</v>
      </c>
      <c r="D54" s="121">
        <f>SUM($C$50,D56:D58,D30)*'Rate Assumption '!$C$10</f>
        <v>3205.3353749273501</v>
      </c>
      <c r="E54" s="121">
        <f>SUM($C$50,E56:E58,E30)*'Rate Assumption '!$C$10</f>
        <v>3365.7888411773502</v>
      </c>
      <c r="F54" s="121">
        <f>SUM($C$50,F56:F58,F30)*'Rate Assumption '!$C$10</f>
        <v>3365.7888411773502</v>
      </c>
      <c r="G54" s="121">
        <f>SUM($C$50,G56:G58,G30)*'Rate Assumption '!$C$10</f>
        <v>3365.7888411773502</v>
      </c>
      <c r="H54" s="121">
        <f>SUM($C$50,H56:H58,H30)*'Rate Assumption '!$C$10</f>
        <v>3365.7888411773502</v>
      </c>
      <c r="I54" s="121">
        <f>SUM($C$50,I56:I58,I30)*'Rate Assumption '!$C$10</f>
        <v>3272.0160368995721</v>
      </c>
      <c r="J54" s="121">
        <f>SUM($C$50,J56:J58,J30)*'Rate Assumption '!$C$10</f>
        <v>3272.0160368995721</v>
      </c>
      <c r="K54" s="121">
        <f>SUM($C$50,K56:K58,K30)*'Rate Assumption '!$C$10</f>
        <v>3272.0160368995721</v>
      </c>
      <c r="L54" s="121">
        <f>SUM($C$50,L56:L58,L30)*'Rate Assumption '!$C$10</f>
        <v>3272.0160368995721</v>
      </c>
      <c r="M54" s="121">
        <f>SUM($C$50,M56:M58,M30)*'Rate Assumption '!$C$10</f>
        <v>3272.0160368995721</v>
      </c>
      <c r="N54" s="121">
        <f>SUM($C$50,N56:N58,N30)*'Rate Assumption '!$C$10</f>
        <v>3607.281148399572</v>
      </c>
    </row>
    <row r="55" spans="2:18" x14ac:dyDescent="0.2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2:18" x14ac:dyDescent="0.25">
      <c r="B56" s="39" t="s">
        <v>157</v>
      </c>
      <c r="C56" s="120">
        <f>SUM($C$4:$C$13)*'Rate Assumption '!$C$17</f>
        <v>11176.666666666666</v>
      </c>
      <c r="D56" s="120">
        <f>C56</f>
        <v>11176.666666666666</v>
      </c>
      <c r="E56" s="120">
        <f t="shared" ref="E56:N56" si="3">D56</f>
        <v>11176.666666666666</v>
      </c>
      <c r="F56" s="120">
        <f t="shared" si="3"/>
        <v>11176.666666666666</v>
      </c>
      <c r="G56" s="120">
        <f t="shared" si="3"/>
        <v>11176.666666666666</v>
      </c>
      <c r="H56" s="120">
        <f t="shared" si="3"/>
        <v>11176.666666666666</v>
      </c>
      <c r="I56" s="120">
        <f t="shared" si="3"/>
        <v>11176.666666666666</v>
      </c>
      <c r="J56" s="120">
        <f t="shared" si="3"/>
        <v>11176.666666666666</v>
      </c>
      <c r="K56" s="120">
        <f t="shared" si="3"/>
        <v>11176.666666666666</v>
      </c>
      <c r="L56" s="120">
        <f t="shared" si="3"/>
        <v>11176.666666666666</v>
      </c>
      <c r="M56" s="120">
        <f t="shared" si="3"/>
        <v>11176.666666666666</v>
      </c>
      <c r="N56" s="120">
        <f t="shared" si="3"/>
        <v>11176.666666666666</v>
      </c>
    </row>
    <row r="57" spans="2:18" x14ac:dyDescent="0.2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2:18" x14ac:dyDescent="0.25">
      <c r="B58" s="39" t="s">
        <v>158</v>
      </c>
      <c r="C58" s="116">
        <f>SUM(C20:C28)*('Rate Assumption '!$D$14+'Rate Assumption '!$D$15)</f>
        <v>14941.352703703702</v>
      </c>
      <c r="D58" s="116">
        <f>SUM(D20:D28)*('Rate Assumption '!$D$14+'Rate Assumption '!$D$15)</f>
        <v>14941.352703703702</v>
      </c>
      <c r="E58" s="116">
        <f>SUM(E20:E28)*('Rate Assumption '!$D$14+'Rate Assumption '!$D$15)</f>
        <v>15913.797953703703</v>
      </c>
      <c r="F58" s="116">
        <f>SUM(F20:F28)*('Rate Assumption '!$D$14+'Rate Assumption '!$D$15)</f>
        <v>15913.797953703703</v>
      </c>
      <c r="G58" s="116">
        <f>SUM(G20:G28)*('Rate Assumption '!$D$14+'Rate Assumption '!$D$15)</f>
        <v>15913.797953703703</v>
      </c>
      <c r="H58" s="116">
        <f>SUM(H20:H28)*('Rate Assumption '!$D$14+'Rate Assumption '!$D$15)</f>
        <v>15913.797953703703</v>
      </c>
      <c r="I58" s="116">
        <f>SUM(I20:I28)*('Rate Assumption '!$D$14+'Rate Assumption '!$D$15)</f>
        <v>15345.477927777778</v>
      </c>
      <c r="J58" s="116">
        <f>SUM(J20:J28)*('Rate Assumption '!$D$14+'Rate Assumption '!$D$15)</f>
        <v>15345.477927777778</v>
      </c>
      <c r="K58" s="116">
        <f>SUM(K20:K28)*('Rate Assumption '!$D$14+'Rate Assumption '!$D$15)</f>
        <v>15345.477927777778</v>
      </c>
      <c r="L58" s="116">
        <f>SUM(L20:L28)*('Rate Assumption '!$D$14+'Rate Assumption '!$D$15)</f>
        <v>15345.477927777778</v>
      </c>
      <c r="M58" s="116">
        <f>SUM(M20:M28)*('Rate Assumption '!$D$14+'Rate Assumption '!$D$15)</f>
        <v>15345.477927777778</v>
      </c>
      <c r="N58" s="116">
        <f>SUM(N20:N28)*('Rate Assumption '!$D$14+'Rate Assumption '!$D$15)</f>
        <v>17377.387694444446</v>
      </c>
    </row>
    <row r="59" spans="2:18" x14ac:dyDescent="0.2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2:18" x14ac:dyDescent="0.25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2:18" x14ac:dyDescent="0.25">
      <c r="B61" s="122" t="s">
        <v>159</v>
      </c>
      <c r="C61" s="112">
        <f>C20+C32+((SUM(C22:C28)+$C$50+C56+C58+SUM(C52:C54))*0.5)</f>
        <v>129172.26228765311</v>
      </c>
      <c r="D61" s="112">
        <f t="shared" ref="D61:M61" si="4">D20+D32+((SUM(D22:D28)+$C$50+D56+D58+SUM(D52:D54))*0.5)</f>
        <v>129172.26228765311</v>
      </c>
      <c r="E61" s="112">
        <f t="shared" si="4"/>
        <v>137582.00725728454</v>
      </c>
      <c r="F61" s="112">
        <f t="shared" si="4"/>
        <v>137582.00725728454</v>
      </c>
      <c r="G61" s="112">
        <f t="shared" si="4"/>
        <v>137582.00725728454</v>
      </c>
      <c r="H61" s="112">
        <f t="shared" si="4"/>
        <v>137582.00725728454</v>
      </c>
      <c r="I61" s="112">
        <f>I20+I32+((SUM(I22:I28)+$C$50+I56+I58+SUM(I52:I54))*0.5)</f>
        <v>132497.14134550036</v>
      </c>
      <c r="J61" s="112">
        <f t="shared" si="4"/>
        <v>132497.14134550036</v>
      </c>
      <c r="K61" s="112">
        <f t="shared" si="4"/>
        <v>132497.14134550036</v>
      </c>
      <c r="L61" s="112">
        <f t="shared" si="4"/>
        <v>132497.14134550036</v>
      </c>
      <c r="M61" s="112">
        <f t="shared" si="4"/>
        <v>132497.14134550036</v>
      </c>
      <c r="N61" s="112">
        <f>N20+N32+((SUM(N22:N28)+$C$50+N56+N58+SUM(N52:N54))*0.5)</f>
        <v>146575.840572135</v>
      </c>
      <c r="O61" s="112"/>
      <c r="P61" s="112"/>
      <c r="Q61" s="112"/>
      <c r="R61" s="123"/>
    </row>
    <row r="62" spans="2:18" x14ac:dyDescent="0.25"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3"/>
    </row>
    <row r="63" spans="2:18" x14ac:dyDescent="0.25">
      <c r="B63" s="122" t="s">
        <v>160</v>
      </c>
      <c r="C63" s="112">
        <f>C21+(SUM(C22:C28)+$C$50+C56+C58+SUM(C52:C54))*0.5</f>
        <v>116032.44177483261</v>
      </c>
      <c r="D63" s="112">
        <f>D21+(SUM(D22:D28)+$C$50+D56+D58+SUM(D52:D54))*0.5</f>
        <v>116032.44177483261</v>
      </c>
      <c r="E63" s="112">
        <f t="shared" ref="E63:M63" si="5">E21+(SUM(E22:E28)+$C$50+E56+E58+SUM(E52:E54))*0.5</f>
        <v>120307.84700087429</v>
      </c>
      <c r="F63" s="112">
        <f t="shared" si="5"/>
        <v>120307.84700087429</v>
      </c>
      <c r="G63" s="112">
        <f t="shared" si="5"/>
        <v>120307.84700087429</v>
      </c>
      <c r="H63" s="112">
        <f t="shared" si="5"/>
        <v>120307.84700087429</v>
      </c>
      <c r="I63" s="112">
        <f t="shared" si="5"/>
        <v>117977.53749934651</v>
      </c>
      <c r="J63" s="112">
        <f t="shared" si="5"/>
        <v>117977.53749934651</v>
      </c>
      <c r="K63" s="112">
        <f t="shared" si="5"/>
        <v>117977.53749934651</v>
      </c>
      <c r="L63" s="112">
        <f>L21+(SUM(L22:L28)+$C$50+L56+L58+SUM(L52:L54))*0.5</f>
        <v>117977.53749934651</v>
      </c>
      <c r="M63" s="112">
        <f t="shared" si="5"/>
        <v>117977.53749934651</v>
      </c>
      <c r="N63" s="112">
        <f>N21+(SUM(N22:N28)+$C$50+N56+N58+SUM(N52:N54))*0.5</f>
        <v>130369.55211059652</v>
      </c>
      <c r="O63" s="112"/>
      <c r="P63" s="112"/>
      <c r="Q63" s="112"/>
      <c r="R63" s="123"/>
    </row>
    <row r="64" spans="2:18" x14ac:dyDescent="0.25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2:17" x14ac:dyDescent="0.25">
      <c r="B65" s="122" t="s">
        <v>58</v>
      </c>
      <c r="C65" s="116">
        <f t="shared" ref="C65:M65" si="6">C63/2080</f>
        <v>55.78482777636183</v>
      </c>
      <c r="D65" s="116">
        <f t="shared" si="6"/>
        <v>55.78482777636183</v>
      </c>
      <c r="E65" s="116">
        <f t="shared" si="6"/>
        <v>57.84031105811264</v>
      </c>
      <c r="F65" s="116">
        <f t="shared" si="6"/>
        <v>57.84031105811264</v>
      </c>
      <c r="G65" s="116">
        <f t="shared" si="6"/>
        <v>57.84031105811264</v>
      </c>
      <c r="H65" s="116">
        <f t="shared" si="6"/>
        <v>57.84031105811264</v>
      </c>
      <c r="I65" s="116">
        <f t="shared" si="6"/>
        <v>56.719969951608896</v>
      </c>
      <c r="J65" s="116">
        <f t="shared" si="6"/>
        <v>56.719969951608896</v>
      </c>
      <c r="K65" s="116">
        <f t="shared" si="6"/>
        <v>56.719969951608896</v>
      </c>
      <c r="L65" s="116">
        <f t="shared" si="6"/>
        <v>56.719969951608896</v>
      </c>
      <c r="M65" s="116">
        <f t="shared" si="6"/>
        <v>56.719969951608896</v>
      </c>
      <c r="N65" s="116">
        <f>N63/2080</f>
        <v>62.677669283940631</v>
      </c>
      <c r="O65" s="123"/>
      <c r="P65" s="123"/>
      <c r="Q65" s="123"/>
    </row>
    <row r="67" spans="2:17" x14ac:dyDescent="0.25">
      <c r="C67" s="53"/>
    </row>
  </sheetData>
  <mergeCells count="2">
    <mergeCell ref="B1:J1"/>
    <mergeCell ref="C19:N19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 Table </vt:lpstr>
      <vt:lpstr>Rate Assumption </vt:lpstr>
      <vt:lpstr>Per FTE cost</vt:lpstr>
    </vt:vector>
  </TitlesOfParts>
  <Company>DCYF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Tim (DCYF)</dc:creator>
  <cp:lastModifiedBy>Dolgash, Debbie (DCYF)</cp:lastModifiedBy>
  <dcterms:created xsi:type="dcterms:W3CDTF">2023-10-09T18:44:46Z</dcterms:created>
  <dcterms:modified xsi:type="dcterms:W3CDTF">2024-01-02T18:38:42Z</dcterms:modified>
</cp:coreProperties>
</file>