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ED79BF42-C61B-45BA-8A93-1FCA1B2861D6}" xr6:coauthVersionLast="47" xr6:coauthVersionMax="47" xr10:uidLastSave="{00000000-0000-0000-0000-000000000000}"/>
  <bookViews>
    <workbookView xWindow="31290" yWindow="1440" windowWidth="22845" windowHeight="12615" activeTab="3" xr2:uid="{EF466DF1-8C12-40A8-9297-0BE2100C90B9}"/>
  </bookViews>
  <sheets>
    <sheet name="Fee Table" sheetId="3" r:id="rId1"/>
    <sheet name="Fair Wages" sheetId="10" r:id="rId2"/>
    <sheet name="Service Pop and FTE est" sheetId="4" r:id="rId3"/>
    <sheet name="Start  Up" sheetId="5" r:id="rId4"/>
    <sheet name="Rate Assumption " sheetId="1" r:id="rId5"/>
    <sheet name="Per FTE cost" sheetId="2" r:id="rId6"/>
    <sheet name="Wages" sheetId="7" r:id="rId7"/>
    <sheet name="Updates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dminFTE" localSheetId="1">'[1]P&amp;L'!#REF!</definedName>
    <definedName name="AdminFTE">#REF!</definedName>
    <definedName name="AdminHr" localSheetId="1">[1]Assumptions!$D$27</definedName>
    <definedName name="AdminHr">#REF!</definedName>
    <definedName name="AdminHrs" localSheetId="1">'[2]QRTP Assumptions'!#REF!</definedName>
    <definedName name="AdminHrs">#REF!</definedName>
    <definedName name="AdminOther" localSheetId="1">'[3]P&amp;L'!#REF!</definedName>
    <definedName name="AdminOther">#REF!</definedName>
    <definedName name="AdminRate" localSheetId="1">[1]Assumptions!$C$27</definedName>
    <definedName name="AdminRate">#REF!</definedName>
    <definedName name="AvgMonthlyRent" localSheetId="1">[1]Assumptions!#REF!</definedName>
    <definedName name="AvgMonthlyRent">#REF!</definedName>
    <definedName name="AvgRent" localSheetId="1">'[1]P&amp;L'!$B$19</definedName>
    <definedName name="AvgRent">#REF!</definedName>
    <definedName name="Beds" localSheetId="1">'[4]EPS Cost Assumptions'!$B$6</definedName>
    <definedName name="Beds">#REF!</definedName>
    <definedName name="bedss" localSheetId="1">'[5]ALPT Rate Model'!$B$4</definedName>
    <definedName name="bedss">#REF!</definedName>
    <definedName name="Benefits" localSheetId="1">[1]Assumptions!#REF!</definedName>
    <definedName name="Benefits">#REF!</definedName>
    <definedName name="BenefitsCost" localSheetId="1">'[1]P&amp;L'!#REF!</definedName>
    <definedName name="BenefitsCost">#REF!</definedName>
    <definedName name="BOAssumption" localSheetId="1">[1]Assumptions!#REF!</definedName>
    <definedName name="BOAssumption">#REF!</definedName>
    <definedName name="book" localSheetId="1">[1]Assumptions!$B$42</definedName>
    <definedName name="book">#REF!</definedName>
    <definedName name="bookyr" localSheetId="1">[1]Assumptions!$C$42</definedName>
    <definedName name="bookyr">#REF!</definedName>
    <definedName name="Clinical" localSheetId="1">'[1]P&amp;L'!#REF!</definedName>
    <definedName name="Clinical">#REF!</definedName>
    <definedName name="ClinicalFTE" localSheetId="1">'[1]P&amp;L'!#REF!</definedName>
    <definedName name="ClinicalFTE">#REF!</definedName>
    <definedName name="ClinicalHr" localSheetId="1">[1]Assumptions!#REF!</definedName>
    <definedName name="ClinicalHr">#REF!</definedName>
    <definedName name="ClinicalHrs" localSheetId="1">[1]Assumptions!#REF!</definedName>
    <definedName name="ClinicalHrs">#REF!</definedName>
    <definedName name="ClinicalRate" localSheetId="1">[1]Assumptions!#REF!</definedName>
    <definedName name="ClinicalRate">#REF!</definedName>
    <definedName name="Clothing" localSheetId="1">[1]Assumptions!$B$47</definedName>
    <definedName name="Clothing">#REF!</definedName>
    <definedName name="clothingyr" localSheetId="1">[1]Assumptions!$C$47</definedName>
    <definedName name="clothingyr">#REF!</definedName>
    <definedName name="CommunityHr" localSheetId="1">[1]Assumptions!#REF!</definedName>
    <definedName name="CommunityHr">#REF!</definedName>
    <definedName name="CompensationMonthly" localSheetId="1">'[1]P&amp;L'!$B$4</definedName>
    <definedName name="CompensationMonthly">#REF!</definedName>
    <definedName name="CompMonthly" localSheetId="1">[1]Assumptions!$B$10</definedName>
    <definedName name="CompMonthly">#REF!</definedName>
    <definedName name="CompYear" localSheetId="1">'[1]P&amp;L'!$C$4</definedName>
    <definedName name="CompYear">#REF!</definedName>
    <definedName name="craft" localSheetId="1">[1]Assumptions!$B$51</definedName>
    <definedName name="craft">#REF!</definedName>
    <definedName name="craftyr" localSheetId="1">[1]Assumptions!$C$51</definedName>
    <definedName name="craftyr">#REF!</definedName>
    <definedName name="DATATYPEVal" localSheetId="1">[6]Validation!$C$2:$C$3</definedName>
    <definedName name="DATATYPEVal">[6]Validation!$C$2:$C$3</definedName>
    <definedName name="DayDirectFTE" localSheetId="1">'[1]P&amp;L'!#REF!</definedName>
    <definedName name="DayDirectFTE">#REF!</definedName>
    <definedName name="DayDirectHr" localSheetId="1">[1]Assumptions!$D$24</definedName>
    <definedName name="DayDirectHr">#REF!</definedName>
    <definedName name="DayDirectHrs" localSheetId="1">[1]Assumptions!$C$24</definedName>
    <definedName name="DayDirectHrs">#REF!</definedName>
    <definedName name="DayDirectStaff" localSheetId="1">[1]Assumptions!$B$24</definedName>
    <definedName name="DayDirectStaff">#REF!</definedName>
    <definedName name="DirectCare" localSheetId="1">'[2]P&amp;L'!$B$37</definedName>
    <definedName name="DirectCare">#REF!</definedName>
    <definedName name="DirectCareCoverage" localSheetId="1">[1]Assumptions!$B$26</definedName>
    <definedName name="DirectCareCoverage">#REF!</definedName>
    <definedName name="DirectCareFTE" localSheetId="1">'[1]P&amp;L'!#REF!</definedName>
    <definedName name="DirectCareFTE">#REF!</definedName>
    <definedName name="DirectCareHr" localSheetId="1">[1]Assumptions!$D$23</definedName>
    <definedName name="DirectCareHr">#REF!</definedName>
    <definedName name="DirectCareHrs" localSheetId="1">[1]Assumptions!$C$26</definedName>
    <definedName name="DirectCareHrs">#REF!</definedName>
    <definedName name="DirectCareSup" localSheetId="1">'[1]P&amp;L'!#REF!</definedName>
    <definedName name="DirectCareSup">#REF!</definedName>
    <definedName name="DirectCareSup2" localSheetId="1">'[1]P&amp;L'!#REF!</definedName>
    <definedName name="DirectCareSup2">#REF!</definedName>
    <definedName name="DirectorHrsPerMonth" localSheetId="1">'[1]P&amp;L'!#REF!</definedName>
    <definedName name="DirectorHrsPerMonth">#REF!</definedName>
    <definedName name="DirectorHrsPerMonths" localSheetId="1">'[1]P&amp;L'!#REF!</definedName>
    <definedName name="DirectorHrsPerMonths">#REF!</definedName>
    <definedName name="DirectorWage" localSheetId="1">[1]Assumptions!#REF!</definedName>
    <definedName name="DirectorWage">#REF!</definedName>
    <definedName name="DirectorWagess" localSheetId="1">[1]Assumptions!#REF!</definedName>
    <definedName name="DirectorWagess">#REF!</definedName>
    <definedName name="Edu" localSheetId="1">[1]Assumptions!#REF!</definedName>
    <definedName name="Edu">#REF!</definedName>
    <definedName name="EducationMonthly" localSheetId="1">[1]Assumptions!#REF!</definedName>
    <definedName name="EducationMonthly">#REF!</definedName>
    <definedName name="EducationMonthlys" localSheetId="1">[1]Assumptions!#REF!</definedName>
    <definedName name="EducationMonthlys">#REF!</definedName>
    <definedName name="EduMonthly" localSheetId="1">'[1]P&amp;L'!#REF!</definedName>
    <definedName name="EduMonthly">#REF!</definedName>
    <definedName name="Edus" localSheetId="1">[1]Assumptions!#REF!</definedName>
    <definedName name="Edus">#REF!</definedName>
    <definedName name="EmpAds" localSheetId="1">[1]Assumptions!#REF!</definedName>
    <definedName name="EmpAds">#REF!</definedName>
    <definedName name="EmplymentAds" localSheetId="1">[1]Assumptions!#REF!</definedName>
    <definedName name="EmplymentAds">#REF!</definedName>
    <definedName name="EmplymentAdss" localSheetId="1">[1]Assumptions!#REF!</definedName>
    <definedName name="EmplymentAdss">#REF!</definedName>
    <definedName name="EmpsAdss" localSheetId="1">[1]Assumptions!#REF!</definedName>
    <definedName name="EmpsAdss">#REF!</definedName>
    <definedName name="Exechr" localSheetId="1">[1]Assumptions!$D$21</definedName>
    <definedName name="Exechr">#REF!</definedName>
    <definedName name="ExecHrs" localSheetId="1">[1]Assumptions!$C$21</definedName>
    <definedName name="ExecHrs">#REF!</definedName>
    <definedName name="ExecManage" localSheetId="1">[1]Assumptions!#REF!</definedName>
    <definedName name="ExecManage">#REF!</definedName>
    <definedName name="ExecManages" localSheetId="1">[1]Assumptions!#REF!</definedName>
    <definedName name="ExecManages">#REF!</definedName>
    <definedName name="execmonthly" localSheetId="1">'[1]P&amp;L'!$B$34</definedName>
    <definedName name="execmonthly">#REF!</definedName>
    <definedName name="ExecNorthwest" localSheetId="1">'[1]Cost of Living'!#REF!</definedName>
    <definedName name="ExecNorthwest">#REF!</definedName>
    <definedName name="ExecNorthwests" localSheetId="1">'[1]Cost of Living'!#REF!</definedName>
    <definedName name="ExecNorthwests">#REF!</definedName>
    <definedName name="ExecRate" localSheetId="1">'[2]QRTP Assumptions'!#REF!</definedName>
    <definedName name="ExecRate">#REF!</definedName>
    <definedName name="ExecRates" localSheetId="1">'[2]QRTP Assumptions'!#REF!</definedName>
    <definedName name="ExecRates">#REF!</definedName>
    <definedName name="ExecSnowhomish" localSheetId="1">'[1]Cost of Living'!#REF!</definedName>
    <definedName name="ExecSnowhomish">#REF!</definedName>
    <definedName name="ExecSnowhomishs" localSheetId="1">'[1]Cost of Living'!#REF!</definedName>
    <definedName name="ExecSnowhomishs">#REF!</definedName>
    <definedName name="Fed" localSheetId="1">'[1]P&amp;L'!#REF!</definedName>
    <definedName name="Fed">#REF!</definedName>
    <definedName name="Feds" localSheetId="1">'[1]P&amp;L'!#REF!</definedName>
    <definedName name="Feds">#REF!</definedName>
    <definedName name="FedTax" localSheetId="1">[1]Assumptions!$B$34</definedName>
    <definedName name="FedTax">#REF!</definedName>
    <definedName name="food" localSheetId="1">[1]Assumptions!$B$49</definedName>
    <definedName name="food">#REF!</definedName>
    <definedName name="foodyr" localSheetId="1">[1]Assumptions!$C$49</definedName>
    <definedName name="foodyr">#REF!</definedName>
    <definedName name="FTEDirector" localSheetId="1">'[1]P&amp;L'!#REF!</definedName>
    <definedName name="FTEDirector">#REF!</definedName>
    <definedName name="FTEDirectors" localSheetId="1">'[1]P&amp;L'!#REF!</definedName>
    <definedName name="FTEDirectors">#REF!</definedName>
    <definedName name="Funds" localSheetId="1">[7]Data!$B$83:$B$101</definedName>
    <definedName name="Funds">#REF!</definedName>
    <definedName name="Insurance" localSheetId="1">[1]Assumptions!$B$41</definedName>
    <definedName name="Insurance">#REF!</definedName>
    <definedName name="InsuranceYr" localSheetId="1">'[1]P&amp;L'!$C$9</definedName>
    <definedName name="InsuranceYr">#REF!</definedName>
    <definedName name="jobclassabrev">#REF!</definedName>
    <definedName name="Legal" localSheetId="1">[1]Assumptions!$B$43</definedName>
    <definedName name="Legal">#REF!</definedName>
    <definedName name="LevelValidation" localSheetId="1">[6]Validation!$A$2:$A$3</definedName>
    <definedName name="LevelValidation">#REF!</definedName>
    <definedName name="License" localSheetId="1">[1]Assumptions!$B$44</definedName>
    <definedName name="License">#REF!</definedName>
    <definedName name="LicenseCost" localSheetId="1">'[1]P&amp;L'!$C$12</definedName>
    <definedName name="LicenseCost">#REF!</definedName>
    <definedName name="List10" localSheetId="1">#REF!</definedName>
    <definedName name="List10">#REF!</definedName>
    <definedName name="list2" localSheetId="1">#REF!</definedName>
    <definedName name="list2" localSheetId="0">#REF!</definedName>
    <definedName name="list2" localSheetId="5">#REF!</definedName>
    <definedName name="list2" localSheetId="4">#REF!</definedName>
    <definedName name="list2">#REF!</definedName>
    <definedName name="list3" localSheetId="1">#REF!</definedName>
    <definedName name="list3" localSheetId="0">#REF!</definedName>
    <definedName name="list3" localSheetId="5">#REF!</definedName>
    <definedName name="list3" localSheetId="4">#REF!</definedName>
    <definedName name="list3">#REF!</definedName>
    <definedName name="List5" localSheetId="1">#REF!</definedName>
    <definedName name="List5">#REF!</definedName>
    <definedName name="list6" localSheetId="1">#REF!</definedName>
    <definedName name="list6">#REF!</definedName>
    <definedName name="MaintenanceMonthly" localSheetId="1">'[1]P&amp;L'!#REF!</definedName>
    <definedName name="MaintenanceMonthly">#REF!</definedName>
    <definedName name="MaintenanceMonthlys" localSheetId="1">'[1]P&amp;L'!#REF!</definedName>
    <definedName name="MaintenanceMonthlys">#REF!</definedName>
    <definedName name="MaintenanceYr" localSheetId="1">'[1]P&amp;L'!#REF!</definedName>
    <definedName name="MaintenanceYr">#REF!</definedName>
    <definedName name="MaintenanceYrs" localSheetId="1">'[1]P&amp;L'!#REF!</definedName>
    <definedName name="MaintenanceYrs">#REF!</definedName>
    <definedName name="Manage" localSheetId="1">'[1]P&amp;L'!#REF!</definedName>
    <definedName name="Manage">#REF!</definedName>
    <definedName name="ManageFTE" localSheetId="1">'[1]P&amp;L'!#REF!</definedName>
    <definedName name="ManageFTE">#REF!</definedName>
    <definedName name="ManageFTEs\" localSheetId="1">'[1]P&amp;L'!#REF!</definedName>
    <definedName name="ManageFTEs\">#REF!</definedName>
    <definedName name="ManageHrsMonth" localSheetId="1">[1]Assumptions!#REF!</definedName>
    <definedName name="ManageHrsMonth">#REF!</definedName>
    <definedName name="ManageHrsMonths" localSheetId="1">[1]Assumptions!#REF!</definedName>
    <definedName name="ManageHrsMonths">#REF!</definedName>
    <definedName name="ManageRate" localSheetId="1">[1]Assumptions!#REF!</definedName>
    <definedName name="ManageRate">#REF!</definedName>
    <definedName name="ManageRates" localSheetId="1">[1]Assumptions!#REF!</definedName>
    <definedName name="ManageRates">#REF!</definedName>
    <definedName name="ManagerHr" localSheetId="1">[1]Assumptions!$D$22</definedName>
    <definedName name="ManagerHr">#REF!</definedName>
    <definedName name="Manages" localSheetId="1">'[1]P&amp;L'!#REF!</definedName>
    <definedName name="Manages">#REF!</definedName>
    <definedName name="ManagesFTEs" localSheetId="1">'[1]P&amp;L'!#REF!</definedName>
    <definedName name="ManagesFTEs">#REF!</definedName>
    <definedName name="ManagesFTEs\s" localSheetId="1">'[1]P&amp;L'!#REF!</definedName>
    <definedName name="ManagesFTEs\s">#REF!</definedName>
    <definedName name="Marketing" localSheetId="1">[1]Assumptions!#REF!</definedName>
    <definedName name="Marketing">#REF!</definedName>
    <definedName name="Med" localSheetId="1">'[1]P&amp;L'!#REF!</definedName>
    <definedName name="Med">#REF!</definedName>
    <definedName name="MedAssistants" localSheetId="1">'[1]P&amp;L'!#REF!</definedName>
    <definedName name="MedAssistants">#REF!</definedName>
    <definedName name="MedAssitants" localSheetId="1">'[1]P&amp;L'!#REF!</definedName>
    <definedName name="MedAssitants">#REF!</definedName>
    <definedName name="MedHrs" localSheetId="1">[1]Assumptions!#REF!</definedName>
    <definedName name="MedHrs">#REF!</definedName>
    <definedName name="medicalequipment" localSheetId="1">[1]Assumptions!$B$48</definedName>
    <definedName name="medicalequipment">#REF!</definedName>
    <definedName name="MedRate" localSheetId="1">[1]Assumptions!#REF!</definedName>
    <definedName name="MedRate">#REF!</definedName>
    <definedName name="Meds" localSheetId="1">'[1]P&amp;L'!#REF!</definedName>
    <definedName name="Meds">#REF!</definedName>
    <definedName name="medyrcost" localSheetId="1">[1]Assumptions!$C$48</definedName>
    <definedName name="medyrcost">#REF!</definedName>
    <definedName name="Office" localSheetId="1">[1]Assumptions!$B$45</definedName>
    <definedName name="Office">#REF!</definedName>
    <definedName name="OfficeYr" localSheetId="1">'[1]P&amp;L'!$C$13</definedName>
    <definedName name="OfficeYr">#REF!</definedName>
    <definedName name="OvernightFTE" localSheetId="1">'[1]P&amp;L'!#REF!</definedName>
    <definedName name="OvernightFTE">#REF!</definedName>
    <definedName name="OvernightHr" localSheetId="1">[1]Assumptions!$D$25</definedName>
    <definedName name="OvernightHr">#REF!</definedName>
    <definedName name="OvernightStaff" localSheetId="1">[1]Assumptions!$B$25</definedName>
    <definedName name="OvernightStaff">#REF!</definedName>
    <definedName name="OvernightStaffHrs" localSheetId="1">[1]Assumptions!$C$25</definedName>
    <definedName name="OvernightStaffHrs">#REF!</definedName>
    <definedName name="Payroll" localSheetId="1">'[1]P&amp;L'!#REF!</definedName>
    <definedName name="Payroll">#REF!</definedName>
    <definedName name="PayTax" localSheetId="1">[1]Assumptions!$B$35</definedName>
    <definedName name="PayTax">#REF!</definedName>
    <definedName name="PDHrs" localSheetId="1">'[2]QRTP Assumptions'!#REF!</definedName>
    <definedName name="PDHrs">#REF!</definedName>
    <definedName name="PdHrsMonth" localSheetId="1">[1]Assumptions!$C$22</definedName>
    <definedName name="PdHrsMonth">#REF!</definedName>
    <definedName name="PrintedMat" localSheetId="1">[1]Assumptions!#REF!</definedName>
    <definedName name="PrintedMat">#REF!</definedName>
    <definedName name="profyr" localSheetId="1">[1]Assumptions!$C$43</definedName>
    <definedName name="profyr">#REF!</definedName>
    <definedName name="ProgramDirector" localSheetId="1">'[2]P&amp;L'!$B$36</definedName>
    <definedName name="ProgramDirector">#REF!</definedName>
    <definedName name="ReliefHr" localSheetId="1">[1]Assumptions!$D$26</definedName>
    <definedName name="ReliefHr">#REF!</definedName>
    <definedName name="Rent" localSheetId="1">[1]Assumptions!#REF!</definedName>
    <definedName name="Rent">#REF!</definedName>
    <definedName name="Repairs" localSheetId="1">[1]Assumptions!$B$46</definedName>
    <definedName name="Repairs">#REF!</definedName>
    <definedName name="RepairsYr" localSheetId="1">'[1]P&amp;L'!$C$14</definedName>
    <definedName name="RepairsYr">#REF!</definedName>
    <definedName name="Revenue" localSheetId="1">'[1]P&amp;L'!#REF!</definedName>
    <definedName name="Revenue">#REF!</definedName>
    <definedName name="SqfeetpriceCOLI" localSheetId="1">[1]Assumptions!$B$59</definedName>
    <definedName name="SqfeetpriceCOLI">#REF!</definedName>
    <definedName name="SqFtPrice" localSheetId="1">[1]Assumptions!#REF!</definedName>
    <definedName name="SqFtPrice">#REF!</definedName>
    <definedName name="SqrFt" localSheetId="1">[1]Assumptions!#REF!</definedName>
    <definedName name="SqrFt">#REF!</definedName>
    <definedName name="ss" localSheetId="1">[1]Assumptions!#REF!</definedName>
    <definedName name="ss">#REF!</definedName>
    <definedName name="SupervisorHrs" localSheetId="1">[1]Assumptions!$C$23</definedName>
    <definedName name="SupervisorHrs">#REF!</definedName>
    <definedName name="SupervisorRate" localSheetId="1">[1]Assumptions!$B$23</definedName>
    <definedName name="SupervisorRate">#REF!</definedName>
    <definedName name="TotalMarket" localSheetId="1">'[2]QRTP Assumptions'!#REF!</definedName>
    <definedName name="TotalMarket">#REF!</definedName>
    <definedName name="TotalMarketCost" localSheetId="1">'[1]P&amp;L'!$B$20</definedName>
    <definedName name="TotalMarketCost">#REF!</definedName>
    <definedName name="TotalWageCostYr" localSheetId="1">'[1]P&amp;L'!$C$44</definedName>
    <definedName name="TotalWageCostYr">#REF!</definedName>
    <definedName name="TotalWageMonthly" localSheetId="1">'[1]P&amp;L'!$B$44</definedName>
    <definedName name="TotalWageMonthly">#REF!</definedName>
    <definedName name="TypeValidation" localSheetId="1">[6]Validation!$B$2:$B$7</definedName>
    <definedName name="TypeValidation">#REF!</definedName>
    <definedName name="Utilities" localSheetId="1">[1]Assumptions!$B$52</definedName>
    <definedName name="Utilities">#REF!</definedName>
    <definedName name="UtilitiesYr" localSheetId="1">'[1]P&amp;L'!$C$15</definedName>
    <definedName name="UtilitiesYr">#REF!</definedName>
    <definedName name="Vehicle" localSheetId="1">[1]Assumptions!$B$40</definedName>
    <definedName name="Vehicle">#REF!</definedName>
    <definedName name="VehicleYr" localSheetId="1">'[1]P&amp;L'!$C$8</definedName>
    <definedName name="VehicleYr">#REF!</definedName>
    <definedName name="W_A_B_O_" localSheetId="1">'[1]P&amp;L'!#REF!</definedName>
    <definedName name="W_A_B_O_">#REF!</definedName>
    <definedName name="WA_B_O_Taxs" localSheetId="1">[1]Assumptions!$B$36</definedName>
    <definedName name="WA_B_O_Taxs">#REF!</definedName>
    <definedName name="WA_BO_Tax" localSheetId="1">[1]Assumptions!#REF!</definedName>
    <definedName name="WA_BO_Tax">#REF!</definedName>
    <definedName name="WA_BO_Taxes" localSheetId="1">[1]Assumptions!#REF!</definedName>
    <definedName name="WA_BO_Taxes">#REF!</definedName>
    <definedName name="WABO" localSheetId="1">[1]Assumptions!#REF!</definedName>
    <definedName name="WABO">#REF!</definedName>
    <definedName name="WABOTax" localSheetId="1">'[1]P&amp;L'!#REF!</definedName>
    <definedName name="WABOTax">#REF!</definedName>
    <definedName name="Washington_B_O_Tax" localSheetId="1">[1]Assumptions!#REF!</definedName>
    <definedName name="Washington_B_O_Tax">#REF!</definedName>
    <definedName name="YrsEdu" localSheetId="1">'[1]P&amp;L'!#REF!</definedName>
    <definedName name="YrsEd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0" l="1"/>
  <c r="M20" i="10"/>
  <c r="L20" i="10"/>
  <c r="O20" i="10" s="1"/>
  <c r="N19" i="10"/>
  <c r="M19" i="10"/>
  <c r="L19" i="10"/>
  <c r="O19" i="10" s="1"/>
  <c r="N18" i="10"/>
  <c r="M18" i="10"/>
  <c r="L18" i="10"/>
  <c r="O18" i="10" s="1"/>
  <c r="N17" i="10"/>
  <c r="M17" i="10"/>
  <c r="L17" i="10"/>
  <c r="O17" i="10" s="1"/>
  <c r="N16" i="10"/>
  <c r="M16" i="10"/>
  <c r="L16" i="10"/>
  <c r="O16" i="10" s="1"/>
  <c r="N15" i="10"/>
  <c r="M15" i="10"/>
  <c r="L15" i="10"/>
  <c r="O15" i="10" s="1"/>
  <c r="N14" i="10"/>
  <c r="M14" i="10"/>
  <c r="L14" i="10"/>
  <c r="O14" i="10" s="1"/>
  <c r="N13" i="10"/>
  <c r="M13" i="10"/>
  <c r="L13" i="10"/>
  <c r="N12" i="10"/>
  <c r="M12" i="10"/>
  <c r="L12" i="10"/>
  <c r="O12" i="10" s="1"/>
  <c r="N11" i="10"/>
  <c r="M11" i="10"/>
  <c r="L11" i="10"/>
  <c r="O11" i="10" s="1"/>
  <c r="N10" i="10"/>
  <c r="M10" i="10"/>
  <c r="L10" i="10"/>
  <c r="O10" i="10" s="1"/>
  <c r="N9" i="10"/>
  <c r="M9" i="10"/>
  <c r="L9" i="10"/>
  <c r="O9" i="10" s="1"/>
  <c r="G13" i="10"/>
  <c r="F10" i="10"/>
  <c r="F11" i="10"/>
  <c r="F12" i="10"/>
  <c r="F13" i="10"/>
  <c r="F14" i="10"/>
  <c r="F15" i="10"/>
  <c r="F16" i="10"/>
  <c r="F17" i="10"/>
  <c r="F18" i="10"/>
  <c r="F19" i="10"/>
  <c r="F20" i="10"/>
  <c r="F9" i="10"/>
  <c r="E10" i="10"/>
  <c r="E11" i="10"/>
  <c r="E12" i="10"/>
  <c r="E13" i="10"/>
  <c r="E14" i="10"/>
  <c r="E15" i="10"/>
  <c r="E16" i="10"/>
  <c r="E17" i="10"/>
  <c r="E18" i="10"/>
  <c r="E19" i="10"/>
  <c r="E20" i="10"/>
  <c r="E9" i="10"/>
  <c r="D10" i="10"/>
  <c r="G10" i="10" s="1"/>
  <c r="D11" i="10"/>
  <c r="G11" i="10" s="1"/>
  <c r="D12" i="10"/>
  <c r="G12" i="10" s="1"/>
  <c r="D13" i="10"/>
  <c r="D14" i="10"/>
  <c r="G14" i="10" s="1"/>
  <c r="D15" i="10"/>
  <c r="G15" i="10" s="1"/>
  <c r="D16" i="10"/>
  <c r="G16" i="10" s="1"/>
  <c r="D17" i="10"/>
  <c r="G17" i="10" s="1"/>
  <c r="D18" i="10"/>
  <c r="G18" i="10" s="1"/>
  <c r="D19" i="10"/>
  <c r="G19" i="10" s="1"/>
  <c r="D20" i="10"/>
  <c r="G20" i="10" s="1"/>
  <c r="D9" i="10"/>
  <c r="G9" i="10" s="1"/>
  <c r="O13" i="10" l="1"/>
  <c r="E21" i="3" l="1"/>
  <c r="F21" i="3"/>
  <c r="G21" i="3"/>
  <c r="H21" i="3"/>
  <c r="I21" i="3"/>
  <c r="J21" i="3"/>
  <c r="K21" i="3"/>
  <c r="L21" i="3"/>
  <c r="M21" i="3"/>
  <c r="N21" i="3"/>
  <c r="O21" i="3"/>
  <c r="E25" i="4" l="1"/>
  <c r="I66" i="5" l="1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I69" i="5"/>
  <c r="I39" i="5"/>
  <c r="I3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I52" i="5"/>
  <c r="I55" i="5"/>
  <c r="G7" i="7" l="1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/>
  <c r="G17" i="7"/>
  <c r="H17" i="7" s="1"/>
  <c r="G6" i="7"/>
  <c r="H6" i="7" s="1"/>
  <c r="E42" i="3" l="1"/>
  <c r="F42" i="3"/>
  <c r="G42" i="3"/>
  <c r="H42" i="3"/>
  <c r="I42" i="3"/>
  <c r="J42" i="3"/>
  <c r="K42" i="3"/>
  <c r="L42" i="3"/>
  <c r="M42" i="3"/>
  <c r="N42" i="3"/>
  <c r="O42" i="3"/>
  <c r="P42" i="3"/>
  <c r="Q42" i="3"/>
  <c r="D42" i="3"/>
  <c r="F11" i="4" l="1"/>
  <c r="G11" i="4"/>
  <c r="H11" i="4"/>
  <c r="I11" i="4"/>
  <c r="J11" i="4"/>
  <c r="K11" i="4"/>
  <c r="L11" i="4"/>
  <c r="M11" i="4"/>
  <c r="N11" i="4"/>
  <c r="O11" i="4"/>
  <c r="P11" i="4"/>
  <c r="Q11" i="4"/>
  <c r="R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E12" i="4"/>
  <c r="E13" i="4"/>
  <c r="E14" i="4"/>
  <c r="E15" i="4"/>
  <c r="E16" i="4"/>
  <c r="E17" i="4"/>
  <c r="E11" i="4"/>
  <c r="E30" i="4"/>
  <c r="F25" i="4"/>
  <c r="F31" i="4" s="1"/>
  <c r="G25" i="4"/>
  <c r="G30" i="4" s="1"/>
  <c r="H25" i="4"/>
  <c r="H30" i="4" s="1"/>
  <c r="I25" i="4"/>
  <c r="J25" i="4"/>
  <c r="J30" i="4" s="1"/>
  <c r="K25" i="4"/>
  <c r="L25" i="4"/>
  <c r="L30" i="4" s="1"/>
  <c r="M25" i="4"/>
  <c r="M33" i="4" s="1"/>
  <c r="N25" i="4"/>
  <c r="N33" i="4" s="1"/>
  <c r="O25" i="4"/>
  <c r="O33" i="4" s="1"/>
  <c r="P25" i="4"/>
  <c r="P30" i="4" s="1"/>
  <c r="Q25" i="4"/>
  <c r="Q31" i="4" s="1"/>
  <c r="R25" i="4"/>
  <c r="R31" i="4" s="1"/>
  <c r="E26" i="4" a="1"/>
  <c r="E26" i="4" s="1"/>
  <c r="D39" i="3" s="1"/>
  <c r="F26" i="4" a="1"/>
  <c r="F26" i="4" s="1"/>
  <c r="E39" i="3" s="1"/>
  <c r="G26" i="4" a="1"/>
  <c r="G26" i="4" s="1"/>
  <c r="F39" i="3" s="1"/>
  <c r="H26" i="4" a="1"/>
  <c r="H26" i="4" s="1"/>
  <c r="G39" i="3" s="1"/>
  <c r="I26" i="4" a="1"/>
  <c r="I26" i="4" s="1"/>
  <c r="H39" i="3" s="1"/>
  <c r="J26" i="4" a="1"/>
  <c r="J26" i="4" s="1"/>
  <c r="I39" i="3" s="1"/>
  <c r="K26" i="4" a="1"/>
  <c r="K26" i="4" s="1"/>
  <c r="J39" i="3" s="1"/>
  <c r="L26" i="4" a="1"/>
  <c r="L26" i="4" s="1"/>
  <c r="K39" i="3" s="1"/>
  <c r="M26" i="4" a="1"/>
  <c r="M26" i="4" s="1"/>
  <c r="L39" i="3" s="1"/>
  <c r="N26" i="4" a="1"/>
  <c r="N26" i="4" s="1"/>
  <c r="M39" i="3" s="1"/>
  <c r="O26" i="4" a="1"/>
  <c r="O26" i="4" s="1"/>
  <c r="N39" i="3" s="1"/>
  <c r="P26" i="4" a="1"/>
  <c r="P26" i="4" s="1"/>
  <c r="O39" i="3" s="1"/>
  <c r="Q26" i="4" a="1"/>
  <c r="Q26" i="4" s="1"/>
  <c r="P39" i="3" s="1"/>
  <c r="R26" i="4" a="1"/>
  <c r="R26" i="4" s="1"/>
  <c r="Q39" i="3" s="1"/>
  <c r="E37" i="5" l="1"/>
  <c r="E53" i="5"/>
  <c r="E67" i="5"/>
  <c r="R33" i="4"/>
  <c r="R30" i="4"/>
  <c r="L33" i="4"/>
  <c r="L28" i="4"/>
  <c r="E33" i="4"/>
  <c r="L31" i="4"/>
  <c r="N31" i="4"/>
  <c r="E31" i="4"/>
  <c r="N28" i="4"/>
  <c r="P28" i="4"/>
  <c r="H28" i="4"/>
  <c r="E28" i="4"/>
  <c r="P33" i="4"/>
  <c r="P31" i="4"/>
  <c r="O31" i="4"/>
  <c r="I32" i="4"/>
  <c r="M30" i="4"/>
  <c r="M31" i="4"/>
  <c r="J28" i="4"/>
  <c r="O28" i="4"/>
  <c r="K28" i="4"/>
  <c r="M28" i="4"/>
  <c r="J33" i="4"/>
  <c r="I33" i="4"/>
  <c r="H33" i="4"/>
  <c r="K33" i="4"/>
  <c r="H31" i="4"/>
  <c r="F30" i="4"/>
  <c r="G28" i="4"/>
  <c r="F28" i="4"/>
  <c r="F33" i="4"/>
  <c r="G31" i="4"/>
  <c r="G33" i="4"/>
  <c r="K31" i="4"/>
  <c r="J31" i="4"/>
  <c r="Q30" i="4"/>
  <c r="O30" i="4"/>
  <c r="N30" i="4"/>
  <c r="R28" i="4"/>
  <c r="Q28" i="4"/>
  <c r="Q33" i="4"/>
  <c r="K30" i="4"/>
  <c r="G16" i="5"/>
  <c r="F11" i="5"/>
  <c r="G10" i="5"/>
  <c r="G9" i="5"/>
  <c r="C24" i="2"/>
  <c r="G11" i="5" l="1"/>
  <c r="I65" i="5" s="1"/>
  <c r="I51" i="5"/>
  <c r="F70" i="5"/>
  <c r="R70" i="5"/>
  <c r="G70" i="5"/>
  <c r="H70" i="5"/>
  <c r="I70" i="5"/>
  <c r="J70" i="5"/>
  <c r="K70" i="5"/>
  <c r="L70" i="5"/>
  <c r="M70" i="5"/>
  <c r="N70" i="5"/>
  <c r="O70" i="5"/>
  <c r="P70" i="5"/>
  <c r="Q70" i="5"/>
  <c r="N29" i="4"/>
  <c r="N65" i="5"/>
  <c r="N51" i="5"/>
  <c r="K29" i="4"/>
  <c r="K65" i="5"/>
  <c r="K51" i="5"/>
  <c r="Q29" i="4"/>
  <c r="Q65" i="5"/>
  <c r="Q51" i="5"/>
  <c r="G29" i="4"/>
  <c r="G51" i="5"/>
  <c r="G65" i="5"/>
  <c r="O29" i="4"/>
  <c r="O65" i="5"/>
  <c r="O51" i="5"/>
  <c r="L29" i="4"/>
  <c r="L51" i="5"/>
  <c r="L65" i="5"/>
  <c r="J29" i="4"/>
  <c r="J65" i="5"/>
  <c r="J51" i="5"/>
  <c r="R29" i="4"/>
  <c r="R51" i="5"/>
  <c r="R65" i="5"/>
  <c r="H29" i="4"/>
  <c r="H65" i="5"/>
  <c r="H51" i="5"/>
  <c r="P29" i="4"/>
  <c r="P65" i="5"/>
  <c r="P51" i="5"/>
  <c r="F29" i="4"/>
  <c r="F65" i="5"/>
  <c r="F51" i="5"/>
  <c r="M29" i="4"/>
  <c r="M51" i="5"/>
  <c r="M65" i="5"/>
  <c r="E56" i="5"/>
  <c r="E70" i="5"/>
  <c r="E29" i="4"/>
  <c r="E65" i="5"/>
  <c r="E51" i="5"/>
  <c r="E54" i="5"/>
  <c r="E68" i="5"/>
  <c r="E38" i="5"/>
  <c r="C25" i="2"/>
  <c r="Q34" i="5"/>
  <c r="R34" i="5"/>
  <c r="G32" i="4" l="1"/>
  <c r="G52" i="5"/>
  <c r="G36" i="5"/>
  <c r="G66" i="5"/>
  <c r="L32" i="4"/>
  <c r="L36" i="5"/>
  <c r="L52" i="5"/>
  <c r="L66" i="5"/>
  <c r="Q32" i="4"/>
  <c r="Q66" i="5"/>
  <c r="Q36" i="5"/>
  <c r="Q52" i="5"/>
  <c r="P32" i="4"/>
  <c r="P36" i="5"/>
  <c r="P66" i="5"/>
  <c r="P52" i="5"/>
  <c r="K32" i="4"/>
  <c r="K52" i="5"/>
  <c r="K66" i="5"/>
  <c r="K36" i="5"/>
  <c r="R32" i="4"/>
  <c r="R66" i="5"/>
  <c r="R36" i="5"/>
  <c r="R52" i="5"/>
  <c r="O32" i="4"/>
  <c r="O36" i="5"/>
  <c r="O52" i="5"/>
  <c r="O66" i="5"/>
  <c r="F32" i="4"/>
  <c r="F36" i="5"/>
  <c r="F66" i="5"/>
  <c r="F52" i="5"/>
  <c r="J32" i="4"/>
  <c r="J52" i="5"/>
  <c r="J66" i="5"/>
  <c r="J36" i="5"/>
  <c r="M32" i="4"/>
  <c r="M36" i="5"/>
  <c r="M52" i="5"/>
  <c r="M66" i="5"/>
  <c r="H32" i="4"/>
  <c r="H52" i="5"/>
  <c r="H36" i="5"/>
  <c r="H66" i="5"/>
  <c r="N32" i="4"/>
  <c r="N36" i="5"/>
  <c r="N52" i="5"/>
  <c r="N66" i="5"/>
  <c r="E32" i="4"/>
  <c r="E36" i="5"/>
  <c r="E52" i="5"/>
  <c r="E66" i="5"/>
  <c r="R33" i="5"/>
  <c r="Q33" i="5"/>
  <c r="R50" i="5"/>
  <c r="R49" i="5"/>
  <c r="L35" i="5"/>
  <c r="Q50" i="5"/>
  <c r="Q49" i="5"/>
  <c r="C47" i="2"/>
  <c r="N25" i="2"/>
  <c r="M25" i="2"/>
  <c r="L25" i="2"/>
  <c r="K25" i="2"/>
  <c r="J25" i="2"/>
  <c r="I25" i="2"/>
  <c r="H25" i="2"/>
  <c r="G25" i="2"/>
  <c r="F25" i="2"/>
  <c r="E25" i="2"/>
  <c r="D25" i="2"/>
  <c r="N22" i="2"/>
  <c r="M22" i="2"/>
  <c r="L22" i="2"/>
  <c r="K22" i="2"/>
  <c r="J22" i="2"/>
  <c r="L64" i="5" s="1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E63" i="5" s="1"/>
  <c r="C9" i="2"/>
  <c r="J23" i="2" s="1"/>
  <c r="C6" i="2"/>
  <c r="C67" i="1"/>
  <c r="C65" i="1"/>
  <c r="C44" i="2" s="1"/>
  <c r="C18" i="1"/>
  <c r="D17" i="1"/>
  <c r="D16" i="1"/>
  <c r="D15" i="1"/>
  <c r="H55" i="5" l="1"/>
  <c r="H69" i="5"/>
  <c r="H39" i="5"/>
  <c r="Q69" i="5"/>
  <c r="Q55" i="5"/>
  <c r="Q39" i="5"/>
  <c r="R69" i="5"/>
  <c r="R39" i="5"/>
  <c r="R55" i="5"/>
  <c r="N39" i="5"/>
  <c r="N55" i="5"/>
  <c r="N69" i="5"/>
  <c r="M39" i="5"/>
  <c r="M55" i="5"/>
  <c r="M69" i="5"/>
  <c r="J55" i="5"/>
  <c r="J39" i="5"/>
  <c r="J69" i="5"/>
  <c r="L55" i="5"/>
  <c r="L39" i="5"/>
  <c r="L69" i="5"/>
  <c r="K55" i="5"/>
  <c r="K39" i="5"/>
  <c r="K69" i="5"/>
  <c r="P55" i="5"/>
  <c r="P69" i="5"/>
  <c r="P39" i="5"/>
  <c r="F55" i="5"/>
  <c r="F69" i="5"/>
  <c r="F39" i="5"/>
  <c r="O55" i="5"/>
  <c r="O39" i="5"/>
  <c r="O69" i="5"/>
  <c r="G55" i="5"/>
  <c r="G69" i="5"/>
  <c r="G39" i="5"/>
  <c r="H28" i="2"/>
  <c r="J63" i="5"/>
  <c r="L28" i="2"/>
  <c r="O63" i="5"/>
  <c r="M28" i="2"/>
  <c r="P63" i="5"/>
  <c r="E32" i="2"/>
  <c r="G63" i="5"/>
  <c r="J50" i="5"/>
  <c r="J64" i="5"/>
  <c r="K34" i="5"/>
  <c r="K64" i="5"/>
  <c r="K28" i="2"/>
  <c r="M63" i="5"/>
  <c r="N63" i="5"/>
  <c r="N32" i="2"/>
  <c r="R63" i="5"/>
  <c r="Q63" i="5"/>
  <c r="M50" i="5"/>
  <c r="N64" i="5"/>
  <c r="M64" i="5"/>
  <c r="F49" i="5"/>
  <c r="F63" i="5"/>
  <c r="F32" i="2"/>
  <c r="H63" i="5"/>
  <c r="G28" i="2"/>
  <c r="I63" i="5"/>
  <c r="J28" i="2"/>
  <c r="L63" i="5"/>
  <c r="E34" i="5"/>
  <c r="E64" i="5"/>
  <c r="F50" i="5"/>
  <c r="F64" i="5"/>
  <c r="G50" i="5"/>
  <c r="G64" i="5"/>
  <c r="H34" i="5"/>
  <c r="H64" i="5"/>
  <c r="N34" i="5"/>
  <c r="O64" i="5"/>
  <c r="R64" i="5"/>
  <c r="Q64" i="5"/>
  <c r="I28" i="2"/>
  <c r="K63" i="5"/>
  <c r="I50" i="5"/>
  <c r="I64" i="5"/>
  <c r="O34" i="5"/>
  <c r="P64" i="5"/>
  <c r="E69" i="5"/>
  <c r="E55" i="5"/>
  <c r="E39" i="5"/>
  <c r="L49" i="5"/>
  <c r="H50" i="5"/>
  <c r="E33" i="5"/>
  <c r="L50" i="5"/>
  <c r="K50" i="5"/>
  <c r="E50" i="5"/>
  <c r="G49" i="5"/>
  <c r="P33" i="5"/>
  <c r="L34" i="5"/>
  <c r="I33" i="5"/>
  <c r="N50" i="5"/>
  <c r="M34" i="5"/>
  <c r="H49" i="5"/>
  <c r="K33" i="5"/>
  <c r="J33" i="5"/>
  <c r="G34" i="5"/>
  <c r="E49" i="5"/>
  <c r="G33" i="5"/>
  <c r="I34" i="5"/>
  <c r="P50" i="5"/>
  <c r="P34" i="5"/>
  <c r="O33" i="5"/>
  <c r="F33" i="5"/>
  <c r="O49" i="5"/>
  <c r="F34" i="5"/>
  <c r="J49" i="5"/>
  <c r="O50" i="5"/>
  <c r="K49" i="5"/>
  <c r="P49" i="5"/>
  <c r="M33" i="5"/>
  <c r="H33" i="5"/>
  <c r="J34" i="5"/>
  <c r="M49" i="5"/>
  <c r="I49" i="5"/>
  <c r="L33" i="5"/>
  <c r="N49" i="5"/>
  <c r="N33" i="5"/>
  <c r="E40" i="5"/>
  <c r="K35" i="5"/>
  <c r="H37" i="5"/>
  <c r="F37" i="5"/>
  <c r="K37" i="5"/>
  <c r="P35" i="5"/>
  <c r="J35" i="5"/>
  <c r="O37" i="5"/>
  <c r="G38" i="5"/>
  <c r="N37" i="5"/>
  <c r="Q40" i="5"/>
  <c r="M37" i="5"/>
  <c r="L37" i="5"/>
  <c r="P40" i="5"/>
  <c r="P38" i="5"/>
  <c r="R38" i="5"/>
  <c r="H40" i="5"/>
  <c r="H38" i="5"/>
  <c r="I40" i="5"/>
  <c r="K38" i="5"/>
  <c r="E35" i="5"/>
  <c r="R37" i="5"/>
  <c r="G35" i="5"/>
  <c r="I35" i="5"/>
  <c r="N38" i="5"/>
  <c r="I38" i="5"/>
  <c r="P37" i="5"/>
  <c r="O40" i="5"/>
  <c r="O38" i="5"/>
  <c r="F38" i="5"/>
  <c r="G37" i="5"/>
  <c r="J38" i="5"/>
  <c r="J37" i="5"/>
  <c r="N35" i="5"/>
  <c r="K40" i="5"/>
  <c r="R40" i="5"/>
  <c r="M40" i="5"/>
  <c r="M38" i="5"/>
  <c r="H35" i="5"/>
  <c r="N40" i="5"/>
  <c r="M35" i="5"/>
  <c r="L38" i="5"/>
  <c r="G40" i="5"/>
  <c r="F40" i="5"/>
  <c r="O35" i="5"/>
  <c r="R35" i="5"/>
  <c r="Q35" i="5"/>
  <c r="Q37" i="5"/>
  <c r="Q38" i="5"/>
  <c r="J40" i="5"/>
  <c r="F35" i="5"/>
  <c r="L40" i="5"/>
  <c r="I37" i="5"/>
  <c r="J32" i="2"/>
  <c r="L32" i="2"/>
  <c r="N28" i="2"/>
  <c r="G32" i="2"/>
  <c r="H32" i="2"/>
  <c r="I32" i="2"/>
  <c r="K32" i="2"/>
  <c r="M32" i="2"/>
  <c r="F28" i="2"/>
  <c r="D23" i="2"/>
  <c r="C23" i="2"/>
  <c r="E23" i="2"/>
  <c r="N23" i="2"/>
  <c r="M23" i="2"/>
  <c r="F23" i="2"/>
  <c r="C11" i="2"/>
  <c r="G23" i="2"/>
  <c r="C28" i="2"/>
  <c r="D28" i="2"/>
  <c r="C32" i="2"/>
  <c r="E28" i="2"/>
  <c r="D32" i="2"/>
  <c r="I23" i="2"/>
  <c r="K23" i="2"/>
  <c r="H23" i="2"/>
  <c r="L23" i="2"/>
  <c r="E57" i="5" l="1"/>
  <c r="L41" i="5"/>
  <c r="L42" i="5" s="1"/>
  <c r="P22" i="5" s="1"/>
  <c r="L57" i="5"/>
  <c r="L58" i="5" s="1"/>
  <c r="P23" i="5" s="1"/>
  <c r="R71" i="5"/>
  <c r="R72" i="5" s="1"/>
  <c r="G24" i="5" s="1"/>
  <c r="C12" i="2"/>
  <c r="L24" i="2"/>
  <c r="J24" i="2"/>
  <c r="I24" i="2"/>
  <c r="H24" i="2"/>
  <c r="G24" i="2"/>
  <c r="K24" i="2"/>
  <c r="F24" i="2"/>
  <c r="M24" i="2"/>
  <c r="E24" i="2"/>
  <c r="D24" i="2"/>
  <c r="N24" i="2"/>
  <c r="E58" i="5" l="1"/>
  <c r="H23" i="5" s="1"/>
  <c r="E41" i="5"/>
  <c r="E42" i="5" s="1"/>
  <c r="H22" i="5" s="1"/>
  <c r="N41" i="5"/>
  <c r="N42" i="5" s="1"/>
  <c r="K22" i="5" s="1"/>
  <c r="N57" i="5"/>
  <c r="N58" i="5" s="1"/>
  <c r="K23" i="5" s="1"/>
  <c r="P57" i="5"/>
  <c r="P58" i="5" s="1"/>
  <c r="N23" i="5" s="1"/>
  <c r="K57" i="5"/>
  <c r="K58" i="5" s="1"/>
  <c r="D23" i="5" s="1"/>
  <c r="K41" i="5"/>
  <c r="K42" i="5" s="1"/>
  <c r="D22" i="5" s="1"/>
  <c r="O57" i="5"/>
  <c r="O58" i="5" s="1"/>
  <c r="I23" i="5" s="1"/>
  <c r="R57" i="5"/>
  <c r="R58" i="5" s="1"/>
  <c r="G23" i="5" s="1"/>
  <c r="I57" i="5"/>
  <c r="I58" i="5" s="1"/>
  <c r="Q23" i="5" s="1"/>
  <c r="G41" i="5"/>
  <c r="G42" i="5" s="1"/>
  <c r="L22" i="5" s="1"/>
  <c r="F57" i="5"/>
  <c r="F58" i="5" s="1"/>
  <c r="E23" i="5" s="1"/>
  <c r="F41" i="5"/>
  <c r="F42" i="5" s="1"/>
  <c r="E22" i="5" s="1"/>
  <c r="J57" i="5"/>
  <c r="J58" i="5" s="1"/>
  <c r="O23" i="5" s="1"/>
  <c r="J41" i="5"/>
  <c r="J42" i="5" s="1"/>
  <c r="O22" i="5" s="1"/>
  <c r="M41" i="5"/>
  <c r="M42" i="5" s="1"/>
  <c r="J22" i="5" s="1"/>
  <c r="Q57" i="5"/>
  <c r="Q58" i="5" s="1"/>
  <c r="F23" i="5" s="1"/>
  <c r="Q41" i="5"/>
  <c r="H41" i="5"/>
  <c r="I26" i="2"/>
  <c r="J26" i="2"/>
  <c r="K26" i="2"/>
  <c r="N26" i="2"/>
  <c r="L26" i="2"/>
  <c r="M26" i="2"/>
  <c r="H26" i="2"/>
  <c r="C26" i="2"/>
  <c r="D26" i="2"/>
  <c r="G26" i="2"/>
  <c r="E26" i="2"/>
  <c r="F26" i="2"/>
  <c r="C13" i="2"/>
  <c r="C37" i="2" s="1"/>
  <c r="C46" i="2"/>
  <c r="M57" i="5" l="1"/>
  <c r="M58" i="5" s="1"/>
  <c r="J23" i="5" s="1"/>
  <c r="E71" i="5"/>
  <c r="E72" i="5" s="1"/>
  <c r="H24" i="5" s="1"/>
  <c r="O41" i="5"/>
  <c r="O42" i="5" s="1"/>
  <c r="I22" i="5" s="1"/>
  <c r="G57" i="5"/>
  <c r="G58" i="5" s="1"/>
  <c r="L23" i="5" s="1"/>
  <c r="I41" i="5"/>
  <c r="I42" i="5" s="1"/>
  <c r="Q22" i="5" s="1"/>
  <c r="H42" i="5"/>
  <c r="M22" i="5" s="1"/>
  <c r="H57" i="5"/>
  <c r="H58" i="5" s="1"/>
  <c r="M23" i="5" s="1"/>
  <c r="P41" i="5"/>
  <c r="P42" i="5" s="1"/>
  <c r="N22" i="5" s="1"/>
  <c r="R41" i="5"/>
  <c r="R42" i="5" s="1"/>
  <c r="G22" i="5" s="1"/>
  <c r="Q42" i="5"/>
  <c r="F22" i="5" s="1"/>
  <c r="C42" i="2"/>
  <c r="C41" i="2"/>
  <c r="C43" i="2"/>
  <c r="C40" i="2"/>
  <c r="C56" i="2"/>
  <c r="C36" i="2"/>
  <c r="C38" i="2"/>
  <c r="D56" i="2"/>
  <c r="H27" i="2"/>
  <c r="H58" i="2" s="1"/>
  <c r="G27" i="2"/>
  <c r="G30" i="2" s="1"/>
  <c r="G53" i="2" s="1"/>
  <c r="F27" i="2"/>
  <c r="F30" i="2" s="1"/>
  <c r="F53" i="2" s="1"/>
  <c r="E27" i="2"/>
  <c r="E58" i="2" s="1"/>
  <c r="I27" i="2"/>
  <c r="I30" i="2" s="1"/>
  <c r="I53" i="2" s="1"/>
  <c r="N27" i="2"/>
  <c r="N30" i="2" s="1"/>
  <c r="N53" i="2" s="1"/>
  <c r="C27" i="2"/>
  <c r="C58" i="2" s="1"/>
  <c r="M27" i="2"/>
  <c r="M58" i="2" s="1"/>
  <c r="K27" i="2"/>
  <c r="K30" i="2" s="1"/>
  <c r="K53" i="2" s="1"/>
  <c r="J27" i="2"/>
  <c r="J58" i="2" s="1"/>
  <c r="D27" i="2"/>
  <c r="D58" i="2" s="1"/>
  <c r="L27" i="2"/>
  <c r="Q71" i="5" l="1"/>
  <c r="Q72" i="5" s="1"/>
  <c r="F24" i="5" s="1"/>
  <c r="C30" i="2"/>
  <c r="C53" i="2" s="1"/>
  <c r="D30" i="2"/>
  <c r="D53" i="2" s="1"/>
  <c r="J30" i="2"/>
  <c r="J53" i="2" s="1"/>
  <c r="M30" i="2"/>
  <c r="M53" i="2" s="1"/>
  <c r="N58" i="2"/>
  <c r="H30" i="2"/>
  <c r="H53" i="2" s="1"/>
  <c r="F58" i="2"/>
  <c r="I58" i="2"/>
  <c r="E30" i="2"/>
  <c r="E53" i="2" s="1"/>
  <c r="E56" i="2"/>
  <c r="L58" i="2"/>
  <c r="L30" i="2"/>
  <c r="L53" i="2" s="1"/>
  <c r="C49" i="2"/>
  <c r="C50" i="2" s="1"/>
  <c r="K58" i="2"/>
  <c r="G58" i="2"/>
  <c r="F56" i="2" l="1"/>
  <c r="E52" i="2"/>
  <c r="G71" i="5" s="1"/>
  <c r="G72" i="5" s="1"/>
  <c r="L24" i="5" s="1"/>
  <c r="F54" i="2"/>
  <c r="E54" i="2"/>
  <c r="E61" i="2" s="1"/>
  <c r="D54" i="2"/>
  <c r="C54" i="2"/>
  <c r="D52" i="2"/>
  <c r="C52" i="2"/>
  <c r="C63" i="2" s="1"/>
  <c r="D21" i="3" s="1"/>
  <c r="F13" i="3" l="1"/>
  <c r="F15" i="3"/>
  <c r="F17" i="3"/>
  <c r="F14" i="3"/>
  <c r="F16" i="3"/>
  <c r="F18" i="3"/>
  <c r="F12" i="3"/>
  <c r="D63" i="2"/>
  <c r="F71" i="5"/>
  <c r="F72" i="5" s="1"/>
  <c r="E24" i="5" s="1"/>
  <c r="E63" i="2"/>
  <c r="D38" i="3"/>
  <c r="F41" i="3"/>
  <c r="C61" i="2"/>
  <c r="D61" i="2"/>
  <c r="F52" i="2"/>
  <c r="H71" i="5" s="1"/>
  <c r="H72" i="5" s="1"/>
  <c r="M24" i="5" s="1"/>
  <c r="G56" i="2"/>
  <c r="E38" i="3" l="1"/>
  <c r="D12" i="3"/>
  <c r="D15" i="3"/>
  <c r="D17" i="3"/>
  <c r="D14" i="3"/>
  <c r="D13" i="3"/>
  <c r="D16" i="3"/>
  <c r="D18" i="3"/>
  <c r="F38" i="3"/>
  <c r="D65" i="2"/>
  <c r="E13" i="3"/>
  <c r="E15" i="3"/>
  <c r="E17" i="3"/>
  <c r="E12" i="3"/>
  <c r="E18" i="3"/>
  <c r="E16" i="3"/>
  <c r="E14" i="3"/>
  <c r="E65" i="2"/>
  <c r="F61" i="2"/>
  <c r="F63" i="2"/>
  <c r="C65" i="2"/>
  <c r="D61" i="3"/>
  <c r="E41" i="3"/>
  <c r="H56" i="2"/>
  <c r="G52" i="2"/>
  <c r="I71" i="5" s="1"/>
  <c r="I72" i="5" s="1"/>
  <c r="Q24" i="5" s="1"/>
  <c r="G54" i="2"/>
  <c r="D41" i="3"/>
  <c r="G13" i="3" l="1"/>
  <c r="G15" i="3"/>
  <c r="G17" i="3"/>
  <c r="G12" i="3"/>
  <c r="G14" i="3"/>
  <c r="G16" i="3"/>
  <c r="G18" i="3"/>
  <c r="G63" i="2"/>
  <c r="D51" i="3"/>
  <c r="D52" i="3"/>
  <c r="H52" i="2"/>
  <c r="J71" i="5" s="1"/>
  <c r="J72" i="5" s="1"/>
  <c r="O24" i="5" s="1"/>
  <c r="I56" i="2"/>
  <c r="H54" i="2"/>
  <c r="D55" i="3"/>
  <c r="D54" i="3"/>
  <c r="D53" i="3"/>
  <c r="G61" i="2"/>
  <c r="D56" i="3"/>
  <c r="F65" i="2"/>
  <c r="G38" i="3"/>
  <c r="D57" i="3"/>
  <c r="G41" i="3"/>
  <c r="H13" i="3" l="1"/>
  <c r="H15" i="3"/>
  <c r="H17" i="3"/>
  <c r="H12" i="3"/>
  <c r="H51" i="3" s="1"/>
  <c r="H14" i="3"/>
  <c r="H16" i="3"/>
  <c r="H18" i="3"/>
  <c r="G65" i="2"/>
  <c r="H61" i="3"/>
  <c r="H38" i="3"/>
  <c r="H61" i="2"/>
  <c r="I41" i="3" s="1"/>
  <c r="H63" i="2"/>
  <c r="H41" i="3"/>
  <c r="H57" i="3"/>
  <c r="H52" i="3"/>
  <c r="I52" i="2"/>
  <c r="K71" i="5" s="1"/>
  <c r="K72" i="5" s="1"/>
  <c r="D24" i="5" s="1"/>
  <c r="J56" i="2"/>
  <c r="I54" i="2"/>
  <c r="I38" i="3" l="1"/>
  <c r="I13" i="3"/>
  <c r="I15" i="3"/>
  <c r="I17" i="3"/>
  <c r="I12" i="3"/>
  <c r="I14" i="3"/>
  <c r="I16" i="3"/>
  <c r="I18" i="3"/>
  <c r="I61" i="2"/>
  <c r="J41" i="3" s="1"/>
  <c r="I63" i="2"/>
  <c r="H65" i="2"/>
  <c r="H54" i="3"/>
  <c r="H55" i="3"/>
  <c r="H56" i="3"/>
  <c r="H53" i="3"/>
  <c r="J52" i="2"/>
  <c r="L71" i="5" s="1"/>
  <c r="L72" i="5" s="1"/>
  <c r="P24" i="5" s="1"/>
  <c r="K56" i="2"/>
  <c r="J54" i="2"/>
  <c r="I65" i="2" l="1"/>
  <c r="J38" i="3"/>
  <c r="J13" i="3"/>
  <c r="J15" i="3"/>
  <c r="J17" i="3"/>
  <c r="J14" i="3"/>
  <c r="J12" i="3"/>
  <c r="J16" i="3"/>
  <c r="J18" i="3"/>
  <c r="J61" i="2"/>
  <c r="K41" i="3" s="1"/>
  <c r="J63" i="2"/>
  <c r="L56" i="2"/>
  <c r="K52" i="2"/>
  <c r="M71" i="5" s="1"/>
  <c r="M72" i="5" s="1"/>
  <c r="J24" i="5" s="1"/>
  <c r="K54" i="2"/>
  <c r="K13" i="3" l="1"/>
  <c r="K15" i="3"/>
  <c r="K17" i="3"/>
  <c r="K12" i="3"/>
  <c r="K16" i="3"/>
  <c r="K14" i="3"/>
  <c r="K18" i="3"/>
  <c r="K61" i="2"/>
  <c r="M41" i="3" s="1"/>
  <c r="L41" i="3" s="1"/>
  <c r="K63" i="2"/>
  <c r="K38" i="3"/>
  <c r="J65" i="2"/>
  <c r="L61" i="3"/>
  <c r="L52" i="2"/>
  <c r="N71" i="5" s="1"/>
  <c r="N72" i="5" s="1"/>
  <c r="K24" i="5" s="1"/>
  <c r="M56" i="2"/>
  <c r="L54" i="2"/>
  <c r="L13" i="3" l="1"/>
  <c r="L52" i="3" s="1"/>
  <c r="L15" i="3"/>
  <c r="L54" i="3" s="1"/>
  <c r="L17" i="3"/>
  <c r="L56" i="3" s="1"/>
  <c r="L12" i="3"/>
  <c r="L51" i="3" s="1"/>
  <c r="L16" i="3"/>
  <c r="L55" i="3" s="1"/>
  <c r="L14" i="3"/>
  <c r="L53" i="3" s="1"/>
  <c r="L18" i="3"/>
  <c r="L57" i="3" s="1"/>
  <c r="L63" i="2"/>
  <c r="L65" i="2" s="1"/>
  <c r="L61" i="2"/>
  <c r="N56" i="2"/>
  <c r="M52" i="2"/>
  <c r="O71" i="5" s="1"/>
  <c r="O72" i="5" s="1"/>
  <c r="I24" i="5" s="1"/>
  <c r="M54" i="2"/>
  <c r="M38" i="3"/>
  <c r="L38" i="3" s="1"/>
  <c r="K65" i="2"/>
  <c r="M13" i="3" l="1"/>
  <c r="M15" i="3"/>
  <c r="M17" i="3"/>
  <c r="M12" i="3"/>
  <c r="M16" i="3"/>
  <c r="M14" i="3"/>
  <c r="M18" i="3"/>
  <c r="M63" i="2"/>
  <c r="N38" i="3"/>
  <c r="M61" i="2"/>
  <c r="O41" i="3" s="1"/>
  <c r="M65" i="2"/>
  <c r="O38" i="3"/>
  <c r="N41" i="3"/>
  <c r="N52" i="2"/>
  <c r="P71" i="5" s="1"/>
  <c r="P72" i="5" s="1"/>
  <c r="N54" i="2"/>
  <c r="N13" i="3" l="1"/>
  <c r="N15" i="3"/>
  <c r="N17" i="3"/>
  <c r="N12" i="3"/>
  <c r="N18" i="3"/>
  <c r="N14" i="3"/>
  <c r="N16" i="3"/>
  <c r="N24" i="5"/>
  <c r="N61" i="2"/>
  <c r="Q41" i="3" s="1"/>
  <c r="P41" i="3" s="1"/>
  <c r="N63" i="2"/>
  <c r="N65" i="2" s="1"/>
  <c r="Q38" i="3" l="1"/>
  <c r="P38" i="3" s="1"/>
  <c r="P61" i="3"/>
  <c r="O14" i="3"/>
  <c r="P53" i="3" s="1"/>
  <c r="O16" i="3"/>
  <c r="P55" i="3" s="1"/>
  <c r="O18" i="3"/>
  <c r="P57" i="3" s="1"/>
  <c r="O13" i="3"/>
  <c r="P52" i="3" s="1"/>
  <c r="O15" i="3"/>
  <c r="P54" i="3" s="1"/>
  <c r="O17" i="3"/>
  <c r="P56" i="3" s="1"/>
  <c r="O12" i="3"/>
  <c r="P5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<sst xmlns="http://schemas.openxmlformats.org/spreadsheetml/2006/main" count="489" uniqueCount="252">
  <si>
    <t xml:space="preserve">Taxes </t>
  </si>
  <si>
    <t>Type of Taxes</t>
  </si>
  <si>
    <t>Yearly</t>
  </si>
  <si>
    <t xml:space="preserve">Federal </t>
  </si>
  <si>
    <t>Payroll Taxes</t>
  </si>
  <si>
    <t>Washington B&amp;O Tax</t>
  </si>
  <si>
    <t>Benefits and Training</t>
  </si>
  <si>
    <t>Type of Benefits</t>
  </si>
  <si>
    <t>Hours or Dollars (Yearly)</t>
  </si>
  <si>
    <t>% of 2080 Hrs. (Yearly)</t>
  </si>
  <si>
    <t>PTO - 120 hrs. yearly</t>
  </si>
  <si>
    <t>Holiday - 88 hrs. yearly</t>
  </si>
  <si>
    <t>Training - 40 hrs. yearly</t>
  </si>
  <si>
    <t>Staff Health Insurance per FTE per year</t>
  </si>
  <si>
    <t>Qualifications &amp; Standards</t>
  </si>
  <si>
    <t>Case Aide</t>
  </si>
  <si>
    <t>Follows WAC 110-145-1445</t>
  </si>
  <si>
    <t>Case Aide - hours weekly supervision</t>
  </si>
  <si>
    <t>Support Manager</t>
  </si>
  <si>
    <t>Follows WAC 110-145-1440</t>
  </si>
  <si>
    <t>Caseload Standards</t>
  </si>
  <si>
    <t>Support Manager Lvl 1</t>
  </si>
  <si>
    <t>Support Manager Lvl 2</t>
  </si>
  <si>
    <t>Support Manager Lvl 3</t>
  </si>
  <si>
    <t>Support Manager Lvl 4</t>
  </si>
  <si>
    <t>Support Manager Lvl 5</t>
  </si>
  <si>
    <t>Support Manager Lvl 6</t>
  </si>
  <si>
    <t>Support Manager Lvl 7</t>
  </si>
  <si>
    <t>Case Aide Lvl 3</t>
  </si>
  <si>
    <t>Case Aide Lvl 4</t>
  </si>
  <si>
    <t>Case Aide Lvl 5</t>
  </si>
  <si>
    <t>Case Aide Lvl 6</t>
  </si>
  <si>
    <t>Case Aide Lvl 7</t>
  </si>
  <si>
    <t>Ratio</t>
  </si>
  <si>
    <t>Notes</t>
  </si>
  <si>
    <t>Supervisor</t>
  </si>
  <si>
    <t>Staff to supervisor</t>
  </si>
  <si>
    <t>Program Managers</t>
  </si>
  <si>
    <t>Supervisors to Managers</t>
  </si>
  <si>
    <t>After Hours coverage</t>
  </si>
  <si>
    <t>Per FTE Per Case Manager</t>
  </si>
  <si>
    <t>CQI/PBC Managers</t>
  </si>
  <si>
    <t>Per Case Manager &amp; Case Aide FTE</t>
  </si>
  <si>
    <t>Executive/Dir</t>
  </si>
  <si>
    <t>Program Manager to Exec</t>
  </si>
  <si>
    <t>Administrative/data entry</t>
  </si>
  <si>
    <t>Workforce per FTE</t>
  </si>
  <si>
    <t>Services Delivery</t>
  </si>
  <si>
    <t xml:space="preserve">Semi-Annual In-Home Support Planning visit </t>
  </si>
  <si>
    <t>minutes - on avg</t>
  </si>
  <si>
    <t>meetings a year</t>
  </si>
  <si>
    <t xml:space="preserve">Overhead </t>
  </si>
  <si>
    <t xml:space="preserve">Office Space rent - avg </t>
  </si>
  <si>
    <t>100 sq. ft Per FTE - Avg cost</t>
  </si>
  <si>
    <t>Utilities (phone, electric, Internet)</t>
  </si>
  <si>
    <t>Per sq ft per month</t>
  </si>
  <si>
    <t>Office supplies/Tech/furniture/Janitorial</t>
  </si>
  <si>
    <t>Per FTE per month</t>
  </si>
  <si>
    <t>Bookkeeping  &amp; Payroll</t>
  </si>
  <si>
    <t>Insurance (property and liability)</t>
  </si>
  <si>
    <t>Per service delivery FTE per year</t>
  </si>
  <si>
    <t xml:space="preserve">HR &amp; Payroll </t>
  </si>
  <si>
    <t>per FTE per month</t>
  </si>
  <si>
    <t>Staff Equipment - Phones, Laptops, etc.</t>
  </si>
  <si>
    <t>Cloud storage and related software</t>
  </si>
  <si>
    <t>Per month cost</t>
  </si>
  <si>
    <t>Cost of staff attendance training(Coverage)</t>
  </si>
  <si>
    <t>Per FTE per Year</t>
  </si>
  <si>
    <t>Cost of Trainings (external trainings)</t>
  </si>
  <si>
    <t>Per Person Per year</t>
  </si>
  <si>
    <t>General Overhead - see notes</t>
  </si>
  <si>
    <t>See notes</t>
  </si>
  <si>
    <t>FTE</t>
  </si>
  <si>
    <t>Adminstrative/data entry</t>
  </si>
  <si>
    <r>
      <t>CQI/PBC -</t>
    </r>
    <r>
      <rPr>
        <sz val="8"/>
        <rFont val="Arial"/>
        <family val="2"/>
      </rPr>
      <t xml:space="preserve"> overhead calculations only</t>
    </r>
  </si>
  <si>
    <t xml:space="preserve">After Hours coverage </t>
  </si>
  <si>
    <t>North-East</t>
  </si>
  <si>
    <t>South-Central</t>
  </si>
  <si>
    <t>Pacific Mountain</t>
  </si>
  <si>
    <t>South-East</t>
  </si>
  <si>
    <t>North-Central</t>
  </si>
  <si>
    <t xml:space="preserve">Central </t>
  </si>
  <si>
    <t>South-West</t>
  </si>
  <si>
    <t>Olympic</t>
  </si>
  <si>
    <t>Tacoma-Pierce</t>
  </si>
  <si>
    <t>Snohomish</t>
  </si>
  <si>
    <t>North-West</t>
  </si>
  <si>
    <t>Seattle-King</t>
  </si>
  <si>
    <t>CQI/PBC manager</t>
  </si>
  <si>
    <t xml:space="preserve">Staff Total </t>
  </si>
  <si>
    <t>Per Year Costs</t>
  </si>
  <si>
    <t>Cloud storage and realted software</t>
  </si>
  <si>
    <t xml:space="preserve">General Overhead </t>
  </si>
  <si>
    <t xml:space="preserve">Overhead Total </t>
  </si>
  <si>
    <t>Federal -  assumes 5% net revenue</t>
  </si>
  <si>
    <t>Health Care</t>
  </si>
  <si>
    <t>PTO &amp; Holliday</t>
  </si>
  <si>
    <t>Support Manager FTE Cost</t>
  </si>
  <si>
    <t>Case Aide FTE cost</t>
  </si>
  <si>
    <t xml:space="preserve">Case Aide Hourly </t>
  </si>
  <si>
    <t xml:space="preserve">Caregiver Fee Table </t>
  </si>
  <si>
    <t>Base Case Rate and Hourly Rate</t>
  </si>
  <si>
    <t>Zone 1</t>
  </si>
  <si>
    <t>Zone 2</t>
  </si>
  <si>
    <t>Zone 3</t>
  </si>
  <si>
    <t>Zone 4</t>
  </si>
  <si>
    <t>Northeast</t>
  </si>
  <si>
    <t xml:space="preserve">North-Central </t>
  </si>
  <si>
    <t>Estimated Daily census</t>
  </si>
  <si>
    <t>Resource Support Lvl 1</t>
  </si>
  <si>
    <t>Resource Support Lvl 2</t>
  </si>
  <si>
    <t>Resource Support Lvl 3</t>
  </si>
  <si>
    <t>Resource Support Lvl 4</t>
  </si>
  <si>
    <t>Resource Support Lvl 5</t>
  </si>
  <si>
    <t>Resource Support Lvl 6</t>
  </si>
  <si>
    <t>Resource Support Lvl 7</t>
  </si>
  <si>
    <t>Placement Support Manager per FTE per month</t>
  </si>
  <si>
    <t>Fee For Service</t>
  </si>
  <si>
    <t>Case Aide - Per FTE per month</t>
  </si>
  <si>
    <t>Support Manager - yearly wages</t>
  </si>
  <si>
    <t>Case Aide - yearly wages</t>
  </si>
  <si>
    <t>King-North</t>
  </si>
  <si>
    <t>King-South</t>
  </si>
  <si>
    <t>Pierce-North</t>
  </si>
  <si>
    <t>Pierce-South</t>
  </si>
  <si>
    <t>Central</t>
  </si>
  <si>
    <t>Milage reimbursed at posted OFM rate</t>
  </si>
  <si>
    <t>Travel | Office of Financial Management (wa.gov)</t>
  </si>
  <si>
    <t xml:space="preserve">Placement Support Per Placement Lv1 </t>
  </si>
  <si>
    <t>Placement Support Per Placement Lv2</t>
  </si>
  <si>
    <t>Placement Support Per Placement Lv3</t>
  </si>
  <si>
    <t>Placement Support Per Placement Lv4</t>
  </si>
  <si>
    <t>Placement Support Per Placement Lv5</t>
  </si>
  <si>
    <t>Placement Support Per Placement Lv6</t>
  </si>
  <si>
    <t>Placement Support Per Placement Lv7</t>
  </si>
  <si>
    <t>Maximum billable FTEs per month</t>
  </si>
  <si>
    <t>Level 1</t>
  </si>
  <si>
    <t>Level 2</t>
  </si>
  <si>
    <t>Level 3</t>
  </si>
  <si>
    <t>Level 4</t>
  </si>
  <si>
    <t>Level 5</t>
  </si>
  <si>
    <t>Level 6</t>
  </si>
  <si>
    <t>Level 7</t>
  </si>
  <si>
    <t>Zone</t>
  </si>
  <si>
    <t>Northwest</t>
  </si>
  <si>
    <t>Southwest</t>
  </si>
  <si>
    <t>South Central</t>
  </si>
  <si>
    <t>County</t>
  </si>
  <si>
    <t>Lincoln</t>
  </si>
  <si>
    <t>Chelan</t>
  </si>
  <si>
    <t>Island</t>
  </si>
  <si>
    <t>King</t>
  </si>
  <si>
    <t>Pend Oreille</t>
  </si>
  <si>
    <t>Douglas</t>
  </si>
  <si>
    <t>San Juan</t>
  </si>
  <si>
    <t>Spokane</t>
  </si>
  <si>
    <t>Grant</t>
  </si>
  <si>
    <t>Skagit</t>
  </si>
  <si>
    <t>Stevens</t>
  </si>
  <si>
    <t>Kittitas</t>
  </si>
  <si>
    <t>Whatcom</t>
  </si>
  <si>
    <t>Klickitat</t>
  </si>
  <si>
    <t>Ferry</t>
  </si>
  <si>
    <t>Clallam</t>
  </si>
  <si>
    <t>Yakima</t>
  </si>
  <si>
    <t>Okanogan</t>
  </si>
  <si>
    <t>Jefferson</t>
  </si>
  <si>
    <t>Grays Harbor</t>
  </si>
  <si>
    <t>Kitsap</t>
  </si>
  <si>
    <t>Lewis</t>
  </si>
  <si>
    <t>Mason</t>
  </si>
  <si>
    <t>Clark</t>
  </si>
  <si>
    <t>Pacific</t>
  </si>
  <si>
    <t>Cowlitz</t>
  </si>
  <si>
    <t>Thurston</t>
  </si>
  <si>
    <t>Skamania</t>
  </si>
  <si>
    <t>Columbia</t>
  </si>
  <si>
    <t>Wahkiakum</t>
  </si>
  <si>
    <t>Franklin</t>
  </si>
  <si>
    <t>Pierce</t>
  </si>
  <si>
    <t>Garfield</t>
  </si>
  <si>
    <t>Walla Walla</t>
  </si>
  <si>
    <t>Whitman</t>
  </si>
  <si>
    <t>Adams</t>
  </si>
  <si>
    <t>Asotin</t>
  </si>
  <si>
    <t>Benton</t>
  </si>
  <si>
    <t xml:space="preserve">Estimated Portion of Service Population by Level </t>
  </si>
  <si>
    <t>Month 2</t>
  </si>
  <si>
    <t>Month 1</t>
  </si>
  <si>
    <t>Month 3</t>
  </si>
  <si>
    <t>*Assumes 80% of Caregivers will access services and 30% of families will request case aides</t>
  </si>
  <si>
    <t>Access of support services</t>
  </si>
  <si>
    <t>Access of case aide</t>
  </si>
  <si>
    <t>North-Central **</t>
  </si>
  <si>
    <t xml:space="preserve">Supervisor </t>
  </si>
  <si>
    <t>Start Up and Initial Support Funding</t>
  </si>
  <si>
    <t>FTE  Assumptions by Postion - at Full Operations*</t>
  </si>
  <si>
    <t>Overhead</t>
  </si>
  <si>
    <t>North</t>
  </si>
  <si>
    <t>South</t>
  </si>
  <si>
    <t>Overhead and benefits</t>
  </si>
  <si>
    <t>`</t>
  </si>
  <si>
    <t xml:space="preserve">TOTAL </t>
  </si>
  <si>
    <t>Assumptions</t>
  </si>
  <si>
    <t>Monthly service growth</t>
  </si>
  <si>
    <t>FY27</t>
  </si>
  <si>
    <t>FY 26</t>
  </si>
  <si>
    <t>FY25</t>
  </si>
  <si>
    <r>
      <rPr>
        <b/>
        <sz val="14"/>
        <rFont val="Arial"/>
        <family val="2"/>
      </rPr>
      <t xml:space="preserve">Estimated Total Service Population by Catchment </t>
    </r>
    <r>
      <rPr>
        <sz val="14"/>
        <rFont val="Arial"/>
        <family val="2"/>
      </rPr>
      <t xml:space="preserve">
as of January 2024</t>
    </r>
  </si>
  <si>
    <t>** Some element manually adjusted</t>
  </si>
  <si>
    <r>
      <rPr>
        <b/>
        <sz val="10"/>
        <rFont val="Arial"/>
        <family val="2"/>
      </rPr>
      <t>FTE Start-Up Funding Logic</t>
    </r>
    <r>
      <rPr>
        <sz val="10"/>
        <rFont val="Arial"/>
        <family val="2"/>
      </rPr>
      <t xml:space="preserve"> -
 Percent of total FTEs by position by month avialble for cost reimbursement</t>
    </r>
  </si>
  <si>
    <t>These assumption are used to drive the model and may be changed here to impact the modeling.
Effective April 1, 2024</t>
  </si>
  <si>
    <t>Behavioral Case Aide  Lvl 3</t>
  </si>
  <si>
    <t>Behavioral Case Aide  Lvl 4</t>
  </si>
  <si>
    <t>Behavioral Case Aide  Lvl 5</t>
  </si>
  <si>
    <t>Behavioral Case Aide  Lvl 6</t>
  </si>
  <si>
    <t>Behavioral Case Aide  Lvl 7</t>
  </si>
  <si>
    <t>Authorized hours of Case Aide Services Per month, per level, per child/youth</t>
  </si>
  <si>
    <t>Capacity Payment - Per Full Time Equivelant Per Month</t>
  </si>
  <si>
    <t xml:space="preserve">Reference Values </t>
  </si>
  <si>
    <t xml:space="preserve">FIND What value is being looked up, </t>
  </si>
  <si>
    <t>Month one service delivery capcity</t>
  </si>
  <si>
    <t xml:space="preserve">Case Aide Hourly Rate </t>
  </si>
  <si>
    <t>Placement Support - Per Child/Youth Per Month Case Rate</t>
  </si>
  <si>
    <r>
      <t xml:space="preserve">Portion of the total Caregiver rate paid as </t>
    </r>
    <r>
      <rPr>
        <u/>
        <sz val="12"/>
        <color theme="1"/>
        <rFont val="Calibri"/>
        <family val="2"/>
        <scheme val="minor"/>
      </rPr>
      <t>capacity</t>
    </r>
    <r>
      <rPr>
        <sz val="12"/>
        <rFont val="Arial"/>
        <family val="2"/>
      </rPr>
      <t xml:space="preserve"> versus </t>
    </r>
    <r>
      <rPr>
        <u/>
        <sz val="12"/>
        <rFont val="Arial"/>
        <family val="2"/>
      </rPr>
      <t>fee for service</t>
    </r>
    <r>
      <rPr>
        <sz val="12"/>
        <rFont val="Arial"/>
        <family val="2"/>
      </rPr>
      <t>.</t>
    </r>
  </si>
  <si>
    <t>Manager Step</t>
  </si>
  <si>
    <t>Community and Social Service Occupations (21-1000) 50% - Masters</t>
  </si>
  <si>
    <t>Psychiatric Technicians 29-2053 75%</t>
  </si>
  <si>
    <t>Secretaries and Administrative Assistants, (43-6014) 50%</t>
  </si>
  <si>
    <t>Manager</t>
  </si>
  <si>
    <t>Exported on: Tuesday, October 3, 2023 4:04 PM</t>
  </si>
  <si>
    <t>Source: JobsEQ®</t>
  </si>
  <si>
    <t>Note: Figures may not sum due to rounding.</t>
  </si>
  <si>
    <t>1. Wage data are as of 2023Q1 and represent the average for all Covered Employment.</t>
  </si>
  <si>
    <t>Wages reported by Employment Security were adjusted into grouped zones.</t>
  </si>
  <si>
    <t xml:space="preserve">Total </t>
  </si>
  <si>
    <t xml:space="preserve">1. Corrected Start-up funding for month three to better align with contract. Contract allows for reimbursement of acutal incurred costs, previous calculation showed a yearly cost and now reflects a month.  </t>
  </si>
  <si>
    <t>2. Added Ramp-up calucation, available for first 90-days of service delivery</t>
  </si>
  <si>
    <t>Extend calcualtion for case aide on Fee Table tab to inlcude King County</t>
  </si>
  <si>
    <t>Monthly Case Rate</t>
  </si>
  <si>
    <t xml:space="preserve">Direct Care staff Yearly Wages and Benefits </t>
  </si>
  <si>
    <t>Regional**</t>
  </si>
  <si>
    <t>Yearly Wage</t>
  </si>
  <si>
    <t>Yearly PTO</t>
  </si>
  <si>
    <t>Hollidays</t>
  </si>
  <si>
    <t>Yearly Health Insurance Contribution</t>
  </si>
  <si>
    <t xml:space="preserve">Total Yearly Compensation </t>
  </si>
  <si>
    <t>Add Fair Wages guide, reflecting contract standards</t>
  </si>
  <si>
    <t>Placement Support Manger</t>
  </si>
  <si>
    <t>Behavioral Case Aide</t>
  </si>
  <si>
    <t>Start up funding - Added 100% to PBC/QA position month 1</t>
  </si>
  <si>
    <r>
      <t xml:space="preserve">Effective April 1, 2024
</t>
    </r>
    <r>
      <rPr>
        <sz val="11"/>
        <rFont val="Arial"/>
        <family val="2"/>
      </rPr>
      <t>reviesed August 15,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</si>
</sst>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* #,##0_);_(* \(#,##0\);_(* &quot;-&quot;??_);_(@_)"/>
    <numFmt numFmtId="166" formatCode="0.000"/>
    <numFmt numFmtId="167" formatCode="#,##0.0_);[Red]\(#,##0.0\)"/>
    <numFmt numFmtId="168" formatCode="#,##0.0"/>
    <numFmt numFmtId="169" formatCode="0.0"/>
    <numFmt numFmtId="170" formatCode="&quot;$&quot;#,##0"/>
    <numFmt numFmtId="171" formatCode="&quot;$&quot;#,##0.00"/>
    <numFmt numFmtId="172" formatCode="\$#,##0;;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name val="Arial"/>
      <family val="2"/>
    </font>
    <font>
      <u/>
      <sz val="11"/>
      <color rgb="FF0000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1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" fillId="0" borderId="0"/>
  </cellStyleXfs>
  <cellXfs count="280"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9" fontId="0" fillId="0" borderId="3" xfId="2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9" fontId="0" fillId="0" borderId="3" xfId="2" applyFont="1" applyBorder="1" applyAlignment="1">
      <alignment horizontal="center"/>
    </xf>
    <xf numFmtId="7" fontId="0" fillId="0" borderId="0" xfId="0" applyNumberFormat="1"/>
    <xf numFmtId="6" fontId="11" fillId="4" borderId="3" xfId="0" applyNumberFormat="1" applyFont="1" applyFill="1" applyBorder="1" applyAlignment="1">
      <alignment horizontal="center"/>
    </xf>
    <xf numFmtId="0" fontId="0" fillId="5" borderId="3" xfId="0" applyFill="1" applyBorder="1"/>
    <xf numFmtId="0" fontId="11" fillId="0" borderId="0" xfId="0" applyFont="1"/>
    <xf numFmtId="5" fontId="11" fillId="0" borderId="0" xfId="1" applyNumberFormat="1" applyFont="1" applyFill="1" applyBorder="1" applyAlignment="1">
      <alignment horizontal="center"/>
    </xf>
    <xf numFmtId="0" fontId="9" fillId="0" borderId="4" xfId="0" applyFont="1" applyBorder="1"/>
    <xf numFmtId="0" fontId="12" fillId="3" borderId="5" xfId="0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165" fontId="1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64" fontId="5" fillId="0" borderId="0" xfId="2" applyNumberFormat="1" applyFont="1" applyAlignment="1">
      <alignment horizontal="center"/>
    </xf>
    <xf numFmtId="166" fontId="0" fillId="0" borderId="0" xfId="0" applyNumberFormat="1"/>
    <xf numFmtId="0" fontId="0" fillId="6" borderId="3" xfId="0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5" fontId="11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8" xfId="0" applyBorder="1"/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left"/>
    </xf>
    <xf numFmtId="37" fontId="0" fillId="0" borderId="0" xfId="1" applyNumberFormat="1" applyFont="1" applyFill="1" applyBorder="1" applyAlignment="1">
      <alignment horizontal="center"/>
    </xf>
    <xf numFmtId="0" fontId="11" fillId="0" borderId="11" xfId="0" applyFont="1" applyBorder="1"/>
    <xf numFmtId="0" fontId="0" fillId="0" borderId="11" xfId="0" applyBorder="1"/>
    <xf numFmtId="2" fontId="0" fillId="0" borderId="0" xfId="0" applyNumberFormat="1" applyAlignment="1">
      <alignment horizontal="center"/>
    </xf>
    <xf numFmtId="39" fontId="0" fillId="0" borderId="0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5" fontId="11" fillId="0" borderId="12" xfId="0" applyNumberFormat="1" applyFont="1" applyBorder="1" applyAlignment="1">
      <alignment horizontal="left"/>
    </xf>
    <xf numFmtId="37" fontId="0" fillId="0" borderId="4" xfId="1" applyNumberFormat="1" applyFont="1" applyFill="1" applyBorder="1" applyAlignment="1">
      <alignment horizontal="center"/>
    </xf>
    <xf numFmtId="165" fontId="11" fillId="0" borderId="13" xfId="0" applyNumberFormat="1" applyFont="1" applyBorder="1" applyAlignment="1">
      <alignment horizontal="left"/>
    </xf>
    <xf numFmtId="0" fontId="13" fillId="0" borderId="0" xfId="0" applyFont="1"/>
    <xf numFmtId="165" fontId="11" fillId="0" borderId="0" xfId="0" applyNumberFormat="1" applyFont="1" applyAlignment="1">
      <alignment horizontal="left"/>
    </xf>
    <xf numFmtId="8" fontId="0" fillId="0" borderId="0" xfId="0" applyNumberFormat="1"/>
    <xf numFmtId="0" fontId="0" fillId="0" borderId="14" xfId="0" applyBorder="1" applyAlignment="1">
      <alignment horizontal="left" wrapText="1"/>
    </xf>
    <xf numFmtId="8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left" wrapText="1"/>
    </xf>
    <xf numFmtId="8" fontId="0" fillId="0" borderId="7" xfId="0" applyNumberFormat="1" applyBorder="1" applyAlignment="1">
      <alignment horizontal="center"/>
    </xf>
    <xf numFmtId="0" fontId="0" fillId="0" borderId="18" xfId="0" applyBorder="1"/>
    <xf numFmtId="6" fontId="0" fillId="0" borderId="7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0" fontId="0" fillId="0" borderId="19" xfId="0" applyBorder="1"/>
    <xf numFmtId="0" fontId="0" fillId="0" borderId="17" xfId="0" applyBorder="1"/>
    <xf numFmtId="0" fontId="0" fillId="0" borderId="19" xfId="0" applyBorder="1" applyAlignment="1">
      <alignment wrapText="1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wrapText="1"/>
    </xf>
    <xf numFmtId="9" fontId="0" fillId="0" borderId="3" xfId="4" applyFont="1" applyFill="1" applyBorder="1" applyAlignment="1">
      <alignment horizontal="center"/>
    </xf>
    <xf numFmtId="0" fontId="0" fillId="0" borderId="20" xfId="0" applyBorder="1"/>
    <xf numFmtId="6" fontId="0" fillId="0" borderId="2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9" fontId="0" fillId="0" borderId="24" xfId="0" applyNumberFormat="1" applyBorder="1" applyAlignment="1">
      <alignment horizontal="center"/>
    </xf>
    <xf numFmtId="6" fontId="0" fillId="0" borderId="25" xfId="0" applyNumberFormat="1" applyBorder="1" applyAlignment="1">
      <alignment horizontal="left"/>
    </xf>
    <xf numFmtId="0" fontId="11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0" fontId="0" fillId="7" borderId="0" xfId="2" applyNumberFormat="1" applyFon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0" fillId="9" borderId="0" xfId="2" applyNumberFormat="1" applyFont="1" applyFill="1" applyAlignment="1">
      <alignment horizontal="center"/>
    </xf>
    <xf numFmtId="0" fontId="5" fillId="10" borderId="26" xfId="5" applyFill="1" applyBorder="1"/>
    <xf numFmtId="0" fontId="15" fillId="0" borderId="0" xfId="0" applyFont="1" applyAlignment="1">
      <alignment horizontal="center" vertical="center" wrapText="1"/>
    </xf>
    <xf numFmtId="0" fontId="13" fillId="11" borderId="0" xfId="0" applyFont="1" applyFill="1"/>
    <xf numFmtId="165" fontId="11" fillId="0" borderId="5" xfId="0" applyNumberFormat="1" applyFont="1" applyBorder="1" applyAlignment="1">
      <alignment horizontal="left"/>
    </xf>
    <xf numFmtId="170" fontId="0" fillId="0" borderId="0" xfId="0" applyNumberFormat="1" applyAlignment="1">
      <alignment horizontal="center"/>
    </xf>
    <xf numFmtId="170" fontId="0" fillId="0" borderId="0" xfId="0" applyNumberFormat="1"/>
    <xf numFmtId="165" fontId="0" fillId="0" borderId="5" xfId="0" applyNumberForma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165" fontId="13" fillId="0" borderId="0" xfId="0" applyNumberFormat="1" applyFont="1" applyAlignment="1">
      <alignment horizontal="right"/>
    </xf>
    <xf numFmtId="170" fontId="13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9" fontId="0" fillId="0" borderId="0" xfId="2" applyFont="1"/>
    <xf numFmtId="0" fontId="11" fillId="0" borderId="23" xfId="0" applyFont="1" applyBorder="1"/>
    <xf numFmtId="0" fontId="16" fillId="0" borderId="5" xfId="0" applyFont="1" applyBorder="1" applyAlignment="1">
      <alignment horizontal="right" indent="1"/>
    </xf>
    <xf numFmtId="6" fontId="0" fillId="12" borderId="27" xfId="0" applyNumberFormat="1" applyFill="1" applyBorder="1" applyAlignment="1">
      <alignment horizontal="center"/>
    </xf>
    <xf numFmtId="0" fontId="11" fillId="0" borderId="3" xfId="0" applyFont="1" applyBorder="1"/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11" fillId="0" borderId="0" xfId="0" applyFont="1" applyAlignment="1">
      <alignment horizontal="right"/>
    </xf>
    <xf numFmtId="171" fontId="0" fillId="0" borderId="0" xfId="0" applyNumberFormat="1"/>
    <xf numFmtId="0" fontId="17" fillId="13" borderId="0" xfId="0" applyFont="1" applyFill="1" applyAlignment="1">
      <alignment horizontal="center" wrapText="1"/>
    </xf>
    <xf numFmtId="0" fontId="0" fillId="0" borderId="31" xfId="0" applyBorder="1"/>
    <xf numFmtId="0" fontId="0" fillId="0" borderId="32" xfId="0" applyBorder="1"/>
    <xf numFmtId="10" fontId="0" fillId="7" borderId="0" xfId="2" applyNumberFormat="1" applyFont="1" applyFill="1" applyBorder="1" applyAlignment="1">
      <alignment horizontal="center"/>
    </xf>
    <xf numFmtId="10" fontId="0" fillId="8" borderId="0" xfId="2" applyNumberFormat="1" applyFont="1" applyFill="1" applyBorder="1" applyAlignment="1">
      <alignment horizontal="center"/>
    </xf>
    <xf numFmtId="10" fontId="0" fillId="9" borderId="0" xfId="2" applyNumberFormat="1" applyFont="1" applyFill="1" applyBorder="1" applyAlignment="1">
      <alignment horizontal="center"/>
    </xf>
    <xf numFmtId="0" fontId="11" fillId="0" borderId="31" xfId="0" applyFont="1" applyBorder="1"/>
    <xf numFmtId="170" fontId="0" fillId="0" borderId="32" xfId="0" applyNumberFormat="1" applyBorder="1"/>
    <xf numFmtId="171" fontId="0" fillId="0" borderId="32" xfId="0" applyNumberFormat="1" applyBorder="1" applyAlignment="1">
      <alignment horizontal="center"/>
    </xf>
    <xf numFmtId="0" fontId="0" fillId="0" borderId="35" xfId="0" applyBorder="1"/>
    <xf numFmtId="171" fontId="0" fillId="0" borderId="36" xfId="0" applyNumberFormat="1" applyBorder="1" applyAlignment="1">
      <alignment horizontal="center"/>
    </xf>
    <xf numFmtId="171" fontId="0" fillId="0" borderId="37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5"/>
    <xf numFmtId="10" fontId="11" fillId="7" borderId="0" xfId="2" applyNumberFormat="1" applyFont="1" applyFill="1" applyAlignment="1">
      <alignment horizontal="center"/>
    </xf>
    <xf numFmtId="0" fontId="4" fillId="10" borderId="26" xfId="5" applyFont="1" applyFill="1" applyBorder="1"/>
    <xf numFmtId="10" fontId="11" fillId="8" borderId="0" xfId="2" applyNumberFormat="1" applyFont="1" applyFill="1" applyAlignment="1">
      <alignment horizontal="center"/>
    </xf>
    <xf numFmtId="0" fontId="18" fillId="0" borderId="0" xfId="9"/>
    <xf numFmtId="9" fontId="0" fillId="0" borderId="0" xfId="2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9" xfId="0" applyBorder="1"/>
    <xf numFmtId="10" fontId="0" fillId="9" borderId="29" xfId="2" applyNumberFormat="1" applyFont="1" applyFill="1" applyBorder="1" applyAlignment="1">
      <alignment horizontal="center"/>
    </xf>
    <xf numFmtId="0" fontId="0" fillId="0" borderId="30" xfId="0" applyBorder="1"/>
    <xf numFmtId="10" fontId="0" fillId="7" borderId="36" xfId="2" applyNumberFormat="1" applyFont="1" applyFill="1" applyBorder="1" applyAlignment="1">
      <alignment horizontal="center"/>
    </xf>
    <xf numFmtId="10" fontId="0" fillId="8" borderId="36" xfId="2" applyNumberFormat="1" applyFont="1" applyFill="1" applyBorder="1" applyAlignment="1">
      <alignment horizontal="center"/>
    </xf>
    <xf numFmtId="10" fontId="0" fillId="9" borderId="39" xfId="2" applyNumberFormat="1" applyFont="1" applyFill="1" applyBorder="1" applyAlignment="1">
      <alignment horizontal="center"/>
    </xf>
    <xf numFmtId="0" fontId="5" fillId="10" borderId="37" xfId="5" applyFill="1" applyBorder="1"/>
    <xf numFmtId="0" fontId="5" fillId="0" borderId="40" xfId="5" applyBorder="1"/>
    <xf numFmtId="0" fontId="5" fillId="0" borderId="41" xfId="5" applyBorder="1"/>
    <xf numFmtId="0" fontId="5" fillId="0" borderId="42" xfId="5" applyBorder="1"/>
    <xf numFmtId="0" fontId="0" fillId="0" borderId="36" xfId="0" applyBorder="1"/>
    <xf numFmtId="49" fontId="5" fillId="0" borderId="43" xfId="5" applyNumberFormat="1" applyBorder="1"/>
    <xf numFmtId="0" fontId="0" fillId="0" borderId="37" xfId="0" applyBorder="1"/>
    <xf numFmtId="9" fontId="0" fillId="0" borderId="0" xfId="0" applyNumberFormat="1"/>
    <xf numFmtId="0" fontId="3" fillId="10" borderId="26" xfId="5" applyFont="1" applyFill="1" applyBorder="1"/>
    <xf numFmtId="0" fontId="3" fillId="10" borderId="26" xfId="5" applyFont="1" applyFill="1" applyBorder="1" applyAlignment="1">
      <alignment horizontal="center"/>
    </xf>
    <xf numFmtId="10" fontId="11" fillId="7" borderId="0" xfId="2" applyNumberFormat="1" applyFont="1" applyFill="1" applyBorder="1" applyAlignment="1">
      <alignment horizontal="center"/>
    </xf>
    <xf numFmtId="10" fontId="11" fillId="8" borderId="0" xfId="2" applyNumberFormat="1" applyFont="1" applyFill="1" applyBorder="1" applyAlignment="1">
      <alignment horizontal="center"/>
    </xf>
    <xf numFmtId="0" fontId="4" fillId="10" borderId="34" xfId="5" applyFont="1" applyFill="1" applyBorder="1" applyAlignment="1">
      <alignment horizontal="center"/>
    </xf>
    <xf numFmtId="0" fontId="11" fillId="0" borderId="31" xfId="0" applyFont="1" applyBorder="1" applyAlignment="1">
      <alignment wrapText="1"/>
    </xf>
    <xf numFmtId="0" fontId="0" fillId="0" borderId="32" xfId="0" applyBorder="1" applyAlignment="1">
      <alignment horizontal="center"/>
    </xf>
    <xf numFmtId="0" fontId="13" fillId="0" borderId="28" xfId="0" applyFont="1" applyBorder="1"/>
    <xf numFmtId="0" fontId="3" fillId="10" borderId="34" xfId="5" applyFont="1" applyFill="1" applyBorder="1"/>
    <xf numFmtId="170" fontId="0" fillId="0" borderId="36" xfId="0" applyNumberFormat="1" applyBorder="1"/>
    <xf numFmtId="0" fontId="13" fillId="0" borderId="36" xfId="0" applyFont="1" applyBorder="1" applyAlignment="1">
      <alignment horizontal="right"/>
    </xf>
    <xf numFmtId="170" fontId="13" fillId="0" borderId="36" xfId="0" applyNumberFormat="1" applyFont="1" applyBorder="1"/>
    <xf numFmtId="170" fontId="13" fillId="0" borderId="37" xfId="0" applyNumberFormat="1" applyFont="1" applyBorder="1"/>
    <xf numFmtId="0" fontId="11" fillId="0" borderId="4" xfId="0" applyFont="1" applyBorder="1"/>
    <xf numFmtId="170" fontId="0" fillId="0" borderId="4" xfId="0" applyNumberFormat="1" applyBorder="1"/>
    <xf numFmtId="170" fontId="0" fillId="0" borderId="44" xfId="0" applyNumberFormat="1" applyBorder="1"/>
    <xf numFmtId="0" fontId="13" fillId="0" borderId="0" xfId="0" applyFont="1" applyAlignment="1">
      <alignment horizontal="right"/>
    </xf>
    <xf numFmtId="170" fontId="13" fillId="0" borderId="32" xfId="0" applyNumberFormat="1" applyFont="1" applyBorder="1"/>
    <xf numFmtId="0" fontId="13" fillId="0" borderId="36" xfId="0" applyFont="1" applyBorder="1"/>
    <xf numFmtId="0" fontId="13" fillId="0" borderId="37" xfId="0" applyFont="1" applyBorder="1"/>
    <xf numFmtId="171" fontId="0" fillId="0" borderId="4" xfId="0" applyNumberFormat="1" applyBorder="1"/>
    <xf numFmtId="171" fontId="0" fillId="0" borderId="44" xfId="0" applyNumberFormat="1" applyBorder="1"/>
    <xf numFmtId="170" fontId="0" fillId="0" borderId="0" xfId="2" applyNumberFormat="1" applyFont="1" applyAlignment="1">
      <alignment horizontal="center"/>
    </xf>
    <xf numFmtId="10" fontId="0" fillId="9" borderId="2" xfId="2" applyNumberFormat="1" applyFont="1" applyFill="1" applyBorder="1" applyAlignment="1">
      <alignment horizontal="center"/>
    </xf>
    <xf numFmtId="10" fontId="0" fillId="9" borderId="11" xfId="2" applyNumberFormat="1" applyFont="1" applyFill="1" applyBorder="1" applyAlignment="1">
      <alignment horizontal="center"/>
    </xf>
    <xf numFmtId="170" fontId="0" fillId="0" borderId="2" xfId="0" applyNumberFormat="1" applyBorder="1"/>
    <xf numFmtId="170" fontId="0" fillId="0" borderId="11" xfId="0" applyNumberFormat="1" applyBorder="1"/>
    <xf numFmtId="170" fontId="0" fillId="0" borderId="12" xfId="0" applyNumberFormat="1" applyBorder="1"/>
    <xf numFmtId="170" fontId="0" fillId="0" borderId="13" xfId="0" applyNumberFormat="1" applyBorder="1"/>
    <xf numFmtId="10" fontId="0" fillId="8" borderId="2" xfId="2" applyNumberFormat="1" applyFont="1" applyFill="1" applyBorder="1" applyAlignment="1">
      <alignment horizontal="center"/>
    </xf>
    <xf numFmtId="10" fontId="0" fillId="8" borderId="11" xfId="2" applyNumberFormat="1" applyFont="1" applyFill="1" applyBorder="1" applyAlignment="1">
      <alignment horizontal="center"/>
    </xf>
    <xf numFmtId="10" fontId="11" fillId="8" borderId="11" xfId="2" applyNumberFormat="1" applyFont="1" applyFill="1" applyBorder="1" applyAlignment="1">
      <alignment horizontal="center"/>
    </xf>
    <xf numFmtId="38" fontId="4" fillId="2" borderId="0" xfId="8" applyNumberFormat="1" applyFill="1" applyAlignment="1">
      <alignment horizontal="center"/>
    </xf>
    <xf numFmtId="0" fontId="11" fillId="0" borderId="35" xfId="0" applyFont="1" applyBorder="1"/>
    <xf numFmtId="0" fontId="5" fillId="10" borderId="0" xfId="5" applyFill="1"/>
    <xf numFmtId="164" fontId="0" fillId="0" borderId="0" xfId="2" applyNumberFormat="1" applyFont="1" applyBorder="1" applyAlignment="1">
      <alignment horizontal="center"/>
    </xf>
    <xf numFmtId="9" fontId="0" fillId="0" borderId="0" xfId="2" applyFont="1" applyBorder="1"/>
    <xf numFmtId="1" fontId="0" fillId="0" borderId="32" xfId="0" applyNumberFormat="1" applyBorder="1" applyAlignment="1">
      <alignment horizontal="center"/>
    </xf>
    <xf numFmtId="0" fontId="0" fillId="0" borderId="0" xfId="0" applyAlignment="1">
      <alignment wrapText="1"/>
    </xf>
    <xf numFmtId="9" fontId="0" fillId="0" borderId="0" xfId="2" applyFont="1" applyBorder="1" applyAlignment="1">
      <alignment horizontal="center"/>
    </xf>
    <xf numFmtId="9" fontId="0" fillId="0" borderId="32" xfId="2" applyFont="1" applyBorder="1" applyAlignment="1">
      <alignment horizontal="center"/>
    </xf>
    <xf numFmtId="9" fontId="0" fillId="0" borderId="32" xfId="0" applyNumberFormat="1" applyBorder="1" applyAlignment="1">
      <alignment horizontal="center"/>
    </xf>
    <xf numFmtId="170" fontId="0" fillId="0" borderId="32" xfId="2" applyNumberFormat="1" applyFont="1" applyBorder="1" applyAlignment="1">
      <alignment horizontal="center"/>
    </xf>
    <xf numFmtId="170" fontId="0" fillId="0" borderId="37" xfId="2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6" fillId="0" borderId="1" xfId="3" applyAlignment="1"/>
    <xf numFmtId="0" fontId="23" fillId="0" borderId="3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2" xfId="0" applyFont="1" applyBorder="1" applyAlignment="1">
      <alignment horizontal="center"/>
    </xf>
    <xf numFmtId="0" fontId="24" fillId="0" borderId="31" xfId="0" applyFont="1" applyBorder="1"/>
    <xf numFmtId="0" fontId="25" fillId="0" borderId="31" xfId="0" applyFont="1" applyBorder="1"/>
    <xf numFmtId="170" fontId="24" fillId="0" borderId="0" xfId="0" applyNumberFormat="1" applyFont="1" applyAlignment="1">
      <alignment horizontal="center"/>
    </xf>
    <xf numFmtId="170" fontId="25" fillId="0" borderId="0" xfId="0" applyNumberFormat="1" applyFont="1" applyAlignment="1">
      <alignment horizont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5" fillId="0" borderId="33" xfId="0" applyFont="1" applyBorder="1"/>
    <xf numFmtId="170" fontId="25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171" fontId="25" fillId="0" borderId="0" xfId="0" applyNumberFormat="1" applyFont="1" applyAlignment="1">
      <alignment horizontal="center"/>
    </xf>
    <xf numFmtId="170" fontId="24" fillId="0" borderId="32" xfId="0" applyNumberFormat="1" applyFont="1" applyBorder="1" applyAlignment="1">
      <alignment horizontal="center"/>
    </xf>
    <xf numFmtId="0" fontId="24" fillId="0" borderId="31" xfId="0" applyFont="1" applyBorder="1" applyAlignment="1">
      <alignment horizontal="left" indent="1"/>
    </xf>
    <xf numFmtId="171" fontId="11" fillId="0" borderId="0" xfId="0" applyNumberFormat="1" applyFont="1" applyAlignment="1">
      <alignment horizontal="center"/>
    </xf>
    <xf numFmtId="1" fontId="24" fillId="0" borderId="36" xfId="0" applyNumberFormat="1" applyFont="1" applyBorder="1" applyAlignment="1">
      <alignment horizontal="center"/>
    </xf>
    <xf numFmtId="0" fontId="0" fillId="0" borderId="4" xfId="0" applyBorder="1"/>
    <xf numFmtId="171" fontId="0" fillId="0" borderId="4" xfId="0" applyNumberForma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23" fillId="0" borderId="49" xfId="0" applyFont="1" applyBorder="1" applyAlignment="1">
      <alignment horizontal="center"/>
    </xf>
    <xf numFmtId="1" fontId="24" fillId="0" borderId="32" xfId="0" applyNumberFormat="1" applyFont="1" applyBorder="1" applyAlignment="1">
      <alignment horizontal="center"/>
    </xf>
    <xf numFmtId="1" fontId="24" fillId="0" borderId="37" xfId="0" applyNumberFormat="1" applyFont="1" applyBorder="1" applyAlignment="1">
      <alignment horizontal="center"/>
    </xf>
    <xf numFmtId="0" fontId="24" fillId="0" borderId="35" xfId="0" applyFont="1" applyBorder="1" applyAlignment="1">
      <alignment horizontal="left" indent="1"/>
    </xf>
    <xf numFmtId="8" fontId="25" fillId="0" borderId="31" xfId="0" applyNumberFormat="1" applyFont="1" applyBorder="1" applyAlignment="1">
      <alignment horizontal="left" wrapText="1"/>
    </xf>
    <xf numFmtId="9" fontId="19" fillId="0" borderId="0" xfId="0" applyNumberFormat="1" applyFont="1" applyAlignment="1">
      <alignment horizontal="center"/>
    </xf>
    <xf numFmtId="9" fontId="13" fillId="0" borderId="0" xfId="2" applyFont="1"/>
    <xf numFmtId="0" fontId="15" fillId="0" borderId="0" xfId="0" applyFont="1" applyAlignment="1">
      <alignment wrapText="1"/>
    </xf>
    <xf numFmtId="172" fontId="0" fillId="0" borderId="0" xfId="0" applyNumberFormat="1" applyAlignment="1">
      <alignment horizontal="center"/>
    </xf>
    <xf numFmtId="0" fontId="2" fillId="10" borderId="26" xfId="5" applyFont="1" applyFill="1" applyBorder="1" applyAlignment="1">
      <alignment horizontal="center"/>
    </xf>
    <xf numFmtId="0" fontId="29" fillId="0" borderId="0" xfId="0" applyFont="1"/>
    <xf numFmtId="170" fontId="13" fillId="0" borderId="0" xfId="0" applyNumberFormat="1" applyFont="1"/>
    <xf numFmtId="15" fontId="0" fillId="0" borderId="0" xfId="0" applyNumberFormat="1"/>
    <xf numFmtId="0" fontId="23" fillId="0" borderId="4" xfId="0" applyFont="1" applyBorder="1" applyAlignment="1">
      <alignment horizontal="center"/>
    </xf>
    <xf numFmtId="0" fontId="23" fillId="0" borderId="33" xfId="0" applyFont="1" applyBorder="1"/>
    <xf numFmtId="0" fontId="23" fillId="0" borderId="4" xfId="0" applyFont="1" applyBorder="1"/>
    <xf numFmtId="0" fontId="23" fillId="0" borderId="44" xfId="0" applyFont="1" applyBorder="1"/>
    <xf numFmtId="0" fontId="1" fillId="0" borderId="0" xfId="10"/>
    <xf numFmtId="0" fontId="7" fillId="0" borderId="45" xfId="10" applyFont="1" applyBorder="1" applyAlignment="1">
      <alignment wrapText="1"/>
    </xf>
    <xf numFmtId="0" fontId="7" fillId="0" borderId="46" xfId="10" applyFont="1" applyBorder="1" applyAlignment="1">
      <alignment wrapText="1"/>
    </xf>
    <xf numFmtId="0" fontId="7" fillId="0" borderId="47" xfId="10" applyFont="1" applyBorder="1" applyAlignment="1">
      <alignment wrapText="1"/>
    </xf>
    <xf numFmtId="0" fontId="1" fillId="0" borderId="31" xfId="10" applyBorder="1"/>
    <xf numFmtId="0" fontId="1" fillId="0" borderId="32" xfId="10" applyBorder="1"/>
    <xf numFmtId="0" fontId="7" fillId="0" borderId="31" xfId="10" applyFont="1" applyBorder="1"/>
    <xf numFmtId="0" fontId="7" fillId="0" borderId="32" xfId="10" applyFont="1" applyBorder="1" applyAlignment="1">
      <alignment horizontal="center" wrapText="1"/>
    </xf>
    <xf numFmtId="6" fontId="1" fillId="0" borderId="32" xfId="10" applyNumberFormat="1" applyBorder="1" applyAlignment="1">
      <alignment horizontal="center"/>
    </xf>
    <xf numFmtId="0" fontId="1" fillId="0" borderId="31" xfId="10" applyBorder="1" applyAlignment="1" applyProtection="1">
      <alignment horizontal="left" wrapText="1"/>
      <protection locked="0"/>
    </xf>
    <xf numFmtId="6" fontId="7" fillId="0" borderId="32" xfId="10" applyNumberFormat="1" applyFont="1" applyBorder="1" applyAlignment="1">
      <alignment horizontal="center"/>
    </xf>
    <xf numFmtId="0" fontId="1" fillId="0" borderId="31" xfId="10" applyBorder="1" applyAlignment="1" applyProtection="1">
      <alignment wrapText="1"/>
      <protection locked="0"/>
    </xf>
    <xf numFmtId="0" fontId="1" fillId="0" borderId="32" xfId="10" applyBorder="1" applyAlignment="1" applyProtection="1">
      <alignment wrapText="1"/>
      <protection locked="0"/>
    </xf>
    <xf numFmtId="0" fontId="1" fillId="0" borderId="35" xfId="10" applyBorder="1" applyAlignment="1" applyProtection="1">
      <alignment wrapText="1"/>
      <protection locked="0"/>
    </xf>
    <xf numFmtId="0" fontId="1" fillId="0" borderId="36" xfId="10" applyBorder="1" applyAlignment="1" applyProtection="1">
      <alignment wrapText="1"/>
      <protection locked="0"/>
    </xf>
    <xf numFmtId="0" fontId="1" fillId="0" borderId="37" xfId="10" applyBorder="1" applyAlignment="1" applyProtection="1">
      <alignment wrapText="1"/>
      <protection locked="0"/>
    </xf>
    <xf numFmtId="0" fontId="7" fillId="0" borderId="0" xfId="10" applyFont="1" applyAlignment="1">
      <alignment horizontal="center" wrapText="1"/>
    </xf>
    <xf numFmtId="0" fontId="7" fillId="0" borderId="0" xfId="10" applyFont="1" applyAlignment="1">
      <alignment horizontal="center"/>
    </xf>
    <xf numFmtId="7" fontId="1" fillId="0" borderId="0" xfId="10" applyNumberFormat="1" applyAlignment="1">
      <alignment horizontal="center"/>
    </xf>
    <xf numFmtId="5" fontId="1" fillId="0" borderId="0" xfId="10" applyNumberFormat="1" applyAlignment="1">
      <alignment horizontal="center"/>
    </xf>
    <xf numFmtId="10" fontId="0" fillId="7" borderId="31" xfId="2" applyNumberFormat="1" applyFont="1" applyFill="1" applyBorder="1" applyAlignment="1">
      <alignment horizontal="center"/>
    </xf>
    <xf numFmtId="7" fontId="1" fillId="0" borderId="0" xfId="10" applyNumberFormat="1"/>
    <xf numFmtId="10" fontId="0" fillId="8" borderId="31" xfId="2" applyNumberFormat="1" applyFont="1" applyFill="1" applyBorder="1" applyAlignment="1">
      <alignment horizontal="center"/>
    </xf>
    <xf numFmtId="10" fontId="0" fillId="9" borderId="31" xfId="2" applyNumberFormat="1" applyFont="1" applyFill="1" applyBorder="1" applyAlignment="1">
      <alignment horizontal="center"/>
    </xf>
    <xf numFmtId="0" fontId="2" fillId="10" borderId="50" xfId="5" applyFont="1" applyFill="1" applyBorder="1" applyAlignment="1">
      <alignment horizontal="center"/>
    </xf>
    <xf numFmtId="0" fontId="1" fillId="0" borderId="0" xfId="10" applyAlignment="1" applyProtection="1">
      <alignment wrapText="1"/>
      <protection locked="0"/>
    </xf>
    <xf numFmtId="9" fontId="0" fillId="8" borderId="0" xfId="2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7" fillId="1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3" fillId="1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6" fillId="0" borderId="28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/>
    </xf>
    <xf numFmtId="0" fontId="26" fillId="0" borderId="35" xfId="0" applyFont="1" applyBorder="1" applyAlignment="1">
      <alignment horizontal="center" vertical="center" textRotation="90"/>
    </xf>
    <xf numFmtId="0" fontId="19" fillId="0" borderId="31" xfId="0" applyFont="1" applyBorder="1" applyAlignment="1">
      <alignment horizontal="center" wrapText="1"/>
    </xf>
    <xf numFmtId="0" fontId="13" fillId="15" borderId="0" xfId="0" applyFont="1" applyFill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7" fillId="0" borderId="31" xfId="10" applyFont="1" applyBorder="1" applyAlignment="1">
      <alignment horizontal="center"/>
    </xf>
    <xf numFmtId="0" fontId="7" fillId="0" borderId="0" xfId="10" applyFont="1" applyAlignment="1">
      <alignment horizontal="center"/>
    </xf>
    <xf numFmtId="0" fontId="7" fillId="0" borderId="32" xfId="1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11" fillId="0" borderId="45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5" xfId="0" applyNumberFormat="1" applyFont="1" applyBorder="1" applyAlignment="1">
      <alignment horizontal="center" wrapText="1"/>
    </xf>
    <xf numFmtId="165" fontId="7" fillId="0" borderId="6" xfId="0" applyNumberFormat="1" applyFont="1" applyBorder="1" applyAlignment="1">
      <alignment horizontal="center" wrapText="1"/>
    </xf>
    <xf numFmtId="0" fontId="11" fillId="2" borderId="48" xfId="0" applyFont="1" applyFill="1" applyBorder="1" applyAlignment="1">
      <alignment horizontal="center" wrapText="1"/>
    </xf>
    <xf numFmtId="0" fontId="11" fillId="2" borderId="4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6" fillId="0" borderId="1" xfId="3" applyAlignment="1">
      <alignment horizontal="center"/>
    </xf>
  </cellXfs>
  <cellStyles count="11">
    <cellStyle name="Currency" xfId="1" builtinId="4"/>
    <cellStyle name="Currency 5" xfId="7" xr:uid="{6142854B-86B9-4FFA-A924-1FE542348017}"/>
    <cellStyle name="Heading 1" xfId="3" builtinId="16"/>
    <cellStyle name="Hyperlink" xfId="9" builtinId="8"/>
    <cellStyle name="Normal" xfId="0" builtinId="0"/>
    <cellStyle name="Normal 16" xfId="8" xr:uid="{98B61825-4319-4A4B-AF17-DB5DBBD4CBD8}"/>
    <cellStyle name="Normal 19" xfId="5" xr:uid="{A3280BE2-49A1-45DA-9315-0315FE149983}"/>
    <cellStyle name="Normal 2" xfId="10" xr:uid="{E13BC400-84D5-4EA7-80D5-FADA38ACCC5E}"/>
    <cellStyle name="Percent" xfId="2" builtinId="5"/>
    <cellStyle name="Percent 2" xfId="6" xr:uid="{188EC092-D4C5-4279-8F08-45E62C0FAB82}"/>
    <cellStyle name="Percent 6 2" xfId="4" xr:uid="{608C0BE8-1207-421B-A3EF-D7F155E23FD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PS/WORKING%20EPS%20Residential%20Care%20Program%20%20Rate%20Mode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ates\BRS\rate%20model\Residential%20Care%20Program%205.1.xlsx" TargetMode="External"/><Relationship Id="rId1" Type="http://schemas.openxmlformats.org/officeDocument/2006/relationships/externalLinkPath" Target="/Rates/BRS/rate%20model/Residential%20Care%20Program%20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llytd\AppData\Local\Microsoft\Windows\INetCache\Content.Outlook\5EGBJKHN\EPS%20Residential%20Care%20Program%203.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timothy_kelly_dcyf_wa_gov/Documents/Rate%20models%20and%20implementation/FEE%20TABLES/2024/EPS%20July%201%202024.xlsx" TargetMode="External"/><Relationship Id="rId1" Type="http://schemas.openxmlformats.org/officeDocument/2006/relationships/externalLinkPath" Target="file:///\\Dshsfloly3001\caoly3cd\personal\timothy_kelly_dcyf_wa_gov\Documents\Rate%20models%20and%20implementation\FEE%20TABLES\2024\EPS%20July%201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floly3001\caoly3cd\ALLOTMENT\Forecasting%20and%20Financial%20Modeling\Charles%20Wang\Rate%20Setting\ATLP\Final%20Transitional%20living%20cost%20model%20-%20Finance_5.24.23_cw_t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linsider.ssv.wa.lcl/Users/john.rich/Downloads/Import%20Template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%20Files%2023-25\23-25%20Operating%20DPs\307%202023-25%20PL%20Backup%20to%20OFM%20and%20Leg\PL-DS%20D.S.%20Compliance%20Copy%20of%20B23-25%20DP%20Data%20DS%20010%20CL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timothy_kelly_dcyf_wa_gov/Documents/Rate%20models%20and%20implementation/Programs/caregiver/Caregiver%20rate%20model%20and%20catchment.xlsm" TargetMode="External"/><Relationship Id="rId1" Type="http://schemas.openxmlformats.org/officeDocument/2006/relationships/externalLinkPath" Target="file:///\\Dshsfloly3001\caoly3cd\personal\timothy_kelly_dcyf_wa_gov\Documents\Rate%20models%20and%20implementation\FEE%20TABLES\2024\Caregiver%20rate%20model%20and%20catch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&amp;L"/>
      <sheetName val="Direct Care Schedule"/>
      <sheetName val="Rental Costs"/>
      <sheetName val="Cost of Living"/>
      <sheetName val="reference"/>
      <sheetName val="compare overhead"/>
      <sheetName val="broader consideration"/>
      <sheetName val="Usage"/>
      <sheetName val="overlap"/>
      <sheetName val="youth service lookup"/>
      <sheetName val="EPS client info"/>
      <sheetName val="Sheet4"/>
      <sheetName val="EPS service data"/>
    </sheetNames>
    <sheetDataSet>
      <sheetData sheetId="0">
        <row r="10">
          <cell r="B10">
            <v>12734.168928602126</v>
          </cell>
        </row>
        <row r="21">
          <cell r="C21">
            <v>8.6999999999999993</v>
          </cell>
          <cell r="D21">
            <v>134.42307692307693</v>
          </cell>
        </row>
        <row r="22">
          <cell r="C22">
            <v>58</v>
          </cell>
          <cell r="D22">
            <v>36</v>
          </cell>
        </row>
        <row r="23">
          <cell r="B23">
            <v>30</v>
          </cell>
          <cell r="C23">
            <v>173.3</v>
          </cell>
          <cell r="D23">
            <v>30</v>
          </cell>
        </row>
        <row r="24">
          <cell r="B24">
            <v>25</v>
          </cell>
          <cell r="C24">
            <v>615.29999999999995</v>
          </cell>
          <cell r="D24">
            <v>25</v>
          </cell>
        </row>
        <row r="25">
          <cell r="B25">
            <v>25</v>
          </cell>
          <cell r="C25">
            <v>667.3</v>
          </cell>
          <cell r="D25">
            <v>25</v>
          </cell>
        </row>
        <row r="26">
          <cell r="B26">
            <v>25</v>
          </cell>
          <cell r="C26">
            <v>158</v>
          </cell>
          <cell r="D26">
            <v>25</v>
          </cell>
        </row>
        <row r="27">
          <cell r="C27">
            <v>86.7</v>
          </cell>
          <cell r="D27">
            <v>22.692307692307693</v>
          </cell>
        </row>
        <row r="34">
          <cell r="B34">
            <v>0.2</v>
          </cell>
        </row>
        <row r="35">
          <cell r="B35">
            <v>0.24</v>
          </cell>
        </row>
        <row r="36">
          <cell r="B36">
            <v>1.4999999999999999E-2</v>
          </cell>
        </row>
        <row r="40">
          <cell r="B40">
            <v>400</v>
          </cell>
        </row>
        <row r="41">
          <cell r="B41">
            <v>500</v>
          </cell>
        </row>
        <row r="42">
          <cell r="B42">
            <v>726.15384615384619</v>
          </cell>
          <cell r="C42">
            <v>8713.8461538461543</v>
          </cell>
        </row>
        <row r="43">
          <cell r="B43">
            <v>500</v>
          </cell>
          <cell r="C43">
            <v>6000</v>
          </cell>
        </row>
        <row r="44">
          <cell r="B44">
            <v>75</v>
          </cell>
        </row>
        <row r="45">
          <cell r="B45">
            <v>300</v>
          </cell>
        </row>
        <row r="46">
          <cell r="B46">
            <v>720</v>
          </cell>
        </row>
        <row r="47">
          <cell r="B47">
            <v>300</v>
          </cell>
          <cell r="C47">
            <v>3600</v>
          </cell>
        </row>
        <row r="48">
          <cell r="B48">
            <v>120</v>
          </cell>
          <cell r="C48">
            <v>1440</v>
          </cell>
        </row>
        <row r="49">
          <cell r="B49">
            <v>1800</v>
          </cell>
          <cell r="C49">
            <v>21600</v>
          </cell>
        </row>
        <row r="51">
          <cell r="B51">
            <v>150</v>
          </cell>
          <cell r="C51">
            <v>1800</v>
          </cell>
        </row>
        <row r="52">
          <cell r="B52">
            <v>1002</v>
          </cell>
        </row>
        <row r="59">
          <cell r="B59">
            <v>3390</v>
          </cell>
        </row>
      </sheetData>
      <sheetData sheetId="1">
        <row r="4">
          <cell r="B4">
            <v>76405.013571612755</v>
          </cell>
          <cell r="C4">
            <v>916860.162859353</v>
          </cell>
        </row>
        <row r="8">
          <cell r="C8">
            <v>4800</v>
          </cell>
        </row>
        <row r="9">
          <cell r="C9">
            <v>6000</v>
          </cell>
        </row>
        <row r="12">
          <cell r="C12">
            <v>900</v>
          </cell>
        </row>
        <row r="13">
          <cell r="C13">
            <v>3600</v>
          </cell>
        </row>
        <row r="14">
          <cell r="C14">
            <v>8640</v>
          </cell>
        </row>
        <row r="15">
          <cell r="C15">
            <v>12024</v>
          </cell>
        </row>
        <row r="19">
          <cell r="B19">
            <v>3390</v>
          </cell>
        </row>
        <row r="20">
          <cell r="B20">
            <v>520</v>
          </cell>
        </row>
        <row r="34">
          <cell r="B34">
            <v>1169.4807692307693</v>
          </cell>
        </row>
        <row r="44">
          <cell r="B44">
            <v>46438.903846153844</v>
          </cell>
          <cell r="C44">
            <v>557266.84615384613</v>
          </cell>
        </row>
      </sheetData>
      <sheetData sheetId="2"/>
      <sheetData sheetId="3"/>
      <sheetData sheetId="4">
        <row r="3">
          <cell r="C3" t="str">
            <v>Occupation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RTP Assumptions"/>
      <sheetName val="P&amp;L"/>
      <sheetName val="Direct Care Schedule"/>
      <sheetName val="Rental Costs"/>
      <sheetName val="Regional Wage Cost"/>
      <sheetName val="Capacity "/>
      <sheetName val="Sheet3"/>
      <sheetName val="utlization data"/>
    </sheetNames>
    <sheetDataSet>
      <sheetData sheetId="0">
        <row r="4">
          <cell r="B4">
            <v>6</v>
          </cell>
        </row>
      </sheetData>
      <sheetData sheetId="1">
        <row r="5">
          <cell r="B5">
            <v>101171.45999999999</v>
          </cell>
        </row>
        <row r="36">
          <cell r="B36">
            <v>3293.083333333333</v>
          </cell>
        </row>
        <row r="37">
          <cell r="B37">
            <v>5752.0320000000002</v>
          </cell>
        </row>
      </sheetData>
      <sheetData sheetId="2">
        <row r="38">
          <cell r="C38">
            <v>502.66666666666663</v>
          </cell>
        </row>
      </sheetData>
      <sheetData sheetId="3">
        <row r="2">
          <cell r="B2" t="str">
            <v>Snohomish</v>
          </cell>
        </row>
      </sheetData>
      <sheetData sheetId="4">
        <row r="7">
          <cell r="A7" t="str">
            <v>Snohomish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&amp;L"/>
      <sheetName val="Cost of Living"/>
      <sheetName val="Rental Costs"/>
      <sheetName val="Direct Care Schedule"/>
    </sheetNames>
    <sheetDataSet>
      <sheetData sheetId="0">
        <row r="4">
          <cell r="B4">
            <v>6</v>
          </cell>
        </row>
      </sheetData>
      <sheetData sheetId="1">
        <row r="4">
          <cell r="B4">
            <v>63000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e Table"/>
      <sheetName val="Fair Wages"/>
      <sheetName val="EPS Cost Assumptions"/>
      <sheetName val="Summary"/>
      <sheetName val="Directcare Schedule"/>
    </sheetNames>
    <sheetDataSet>
      <sheetData sheetId="0"/>
      <sheetData sheetId="1"/>
      <sheetData sheetId="2">
        <row r="6">
          <cell r="B6">
            <v>6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PT Rate Model"/>
      <sheetName val="Program Costs"/>
      <sheetName val="Direct Care Schedule"/>
      <sheetName val="DCYF Modeled 2 FTE"/>
      <sheetName val="startup"/>
      <sheetName val="DCYF Modeled - Float"/>
      <sheetName val="Service Continuum Comparison"/>
      <sheetName val="Utilization example"/>
    </sheetNames>
    <sheetDataSet>
      <sheetData sheetId="0">
        <row r="4">
          <cell r="B4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idation"/>
      <sheetName val="ImportData"/>
      <sheetName val="Parameters"/>
    </sheetNames>
    <sheetDataSet>
      <sheetData sheetId="0"/>
      <sheetData sheetId="1">
        <row r="2">
          <cell r="A2" t="str">
            <v>ML</v>
          </cell>
          <cell r="B2" t="str">
            <v>Fund</v>
          </cell>
          <cell r="C2" t="str">
            <v>FD</v>
          </cell>
        </row>
        <row r="3">
          <cell r="A3" t="str">
            <v>PL</v>
          </cell>
          <cell r="B3" t="str">
            <v>Fund Activity</v>
          </cell>
        </row>
        <row r="4">
          <cell r="B4" t="str">
            <v>FTE</v>
          </cell>
        </row>
        <row r="5">
          <cell r="B5" t="str">
            <v>FTE Activity</v>
          </cell>
        </row>
        <row r="6">
          <cell r="B6" t="str">
            <v>Object</v>
          </cell>
        </row>
        <row r="7">
          <cell r="B7" t="str">
            <v>Revenue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_Setup"/>
      <sheetName val="FTE, sal, ben"/>
      <sheetName val="prof svc cont"/>
      <sheetName val="goods and svcs"/>
      <sheetName val="travel"/>
      <sheetName val="equipment"/>
      <sheetName val="client svcs cont"/>
      <sheetName val="other&amp;indirect"/>
      <sheetName val="interagency agree"/>
      <sheetName val="Overview"/>
      <sheetName val="Cost Model"/>
      <sheetName val="ATLP Model- Mix"/>
      <sheetName val="BRS Facility"/>
      <sheetName val="Rental Costs"/>
      <sheetName val="Summary"/>
      <sheetName val="PFP - model"/>
      <sheetName val="King County ref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C16">
            <v>0.75</v>
          </cell>
        </row>
      </sheetData>
      <sheetData sheetId="12"/>
      <sheetData sheetId="13">
        <row r="3">
          <cell r="P3">
            <v>-2102</v>
          </cell>
        </row>
      </sheetData>
      <sheetData sheetId="14"/>
      <sheetData sheetId="15"/>
      <sheetData sheetId="16"/>
      <sheetData sheetId="17">
        <row r="84">
          <cell r="B84" t="str">
            <v>001-General Fund - Fed Grnt</v>
          </cell>
        </row>
        <row r="85">
          <cell r="B85" t="str">
            <v>001-1 General Fund - State</v>
          </cell>
        </row>
        <row r="86">
          <cell r="B86" t="str">
            <v>001-2 General Fund - Federal</v>
          </cell>
        </row>
        <row r="87">
          <cell r="B87" t="str">
            <v>001-7 General Fund - Private/Local</v>
          </cell>
        </row>
        <row r="88">
          <cell r="B88" t="str">
            <v>001-A General Fund - Fam Supt (IV-E)</v>
          </cell>
        </row>
        <row r="89">
          <cell r="B89" t="str">
            <v>001-C General Fund - Medicaid (T-19)</v>
          </cell>
        </row>
        <row r="90">
          <cell r="B90" t="str">
            <v>001-H General Fund - ARPA</v>
          </cell>
        </row>
        <row r="91">
          <cell r="B91" t="str">
            <v>001-Z General Fund - CRRSA</v>
          </cell>
        </row>
        <row r="92">
          <cell r="B92" t="str">
            <v>08A-1 Education Legacy Trust Acct - State</v>
          </cell>
        </row>
        <row r="93">
          <cell r="B93" t="str">
            <v>133-6 Children's Trust</v>
          </cell>
        </row>
        <row r="94">
          <cell r="B94" t="str">
            <v>17B-1 HVSA - State</v>
          </cell>
        </row>
        <row r="95">
          <cell r="B95" t="str">
            <v>17B-2 HVSA - Fed</v>
          </cell>
        </row>
        <row r="96">
          <cell r="B96" t="str">
            <v>17F-1 WA Opportunity Pathways Acct - State</v>
          </cell>
        </row>
        <row r="97">
          <cell r="B97" t="str">
            <v>17M-6 Port Background Check</v>
          </cell>
        </row>
        <row r="98">
          <cell r="B98" t="str">
            <v>20L-1 Early Start</v>
          </cell>
        </row>
        <row r="99">
          <cell r="B99" t="str">
            <v>24J-1 Workforce Education Investment Acct - State</v>
          </cell>
        </row>
        <row r="100">
          <cell r="B100" t="str">
            <v>NewCR</v>
          </cell>
        </row>
        <row r="101">
          <cell r="B101" t="str">
            <v>NewExp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"/>
      <sheetName val="Rate Assumption "/>
      <sheetName val="Per FTE cost"/>
      <sheetName val="Rate Summary"/>
      <sheetName val="Rate Summary_Charles Wang 08.14"/>
      <sheetName val="SOW"/>
      <sheetName val="ref Catchment"/>
      <sheetName val="Fee Table"/>
      <sheetName val="phase in - proivder"/>
      <sheetName val="pi-spend"/>
      <sheetName val="Case aid load"/>
      <sheetName val="Regionalized Costs"/>
      <sheetName val="Regionalized Costs (2)"/>
      <sheetName val="Catchment"/>
      <sheetName val="Placement Data"/>
      <sheetName val="Sheet22"/>
      <sheetName val="WFDA placemetns"/>
      <sheetName val="caseaide use"/>
      <sheetName val="on-call"/>
      <sheetName val="CPA useage"/>
      <sheetName val="RP01 Relative Versus Non-Relati"/>
      <sheetName val="Sheet5"/>
      <sheetName val="CPA.2"/>
      <sheetName val="FP rate"/>
      <sheetName val="follow up"/>
      <sheetName val="follo up data"/>
      <sheetName val="new levels"/>
      <sheetName val="KingCounty_Placement_wZone_Iden"/>
      <sheetName val="Combined King Pierce lookup"/>
      <sheetName val="case aid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B15" t="str">
            <v>North-East</v>
          </cell>
          <cell r="C15">
            <v>58266.666666666664</v>
          </cell>
          <cell r="D15">
            <v>45900</v>
          </cell>
          <cell r="E15">
            <v>48133.333333333336</v>
          </cell>
          <cell r="F15">
            <v>67006.666666666657</v>
          </cell>
          <cell r="G15">
            <v>77057.666666666657</v>
          </cell>
        </row>
        <row r="16">
          <cell r="B16" t="str">
            <v>South-Central</v>
          </cell>
          <cell r="C16">
            <v>58266.666666666664</v>
          </cell>
          <cell r="D16">
            <v>45900</v>
          </cell>
          <cell r="E16">
            <v>48133.333333333336</v>
          </cell>
          <cell r="F16">
            <v>67006.666666666657</v>
          </cell>
          <cell r="G16">
            <v>77057.666666666657</v>
          </cell>
        </row>
        <row r="17">
          <cell r="B17" t="str">
            <v>Pacific Mountain</v>
          </cell>
          <cell r="C17">
            <v>63366.666666666664</v>
          </cell>
          <cell r="D17">
            <v>46933.333333333336</v>
          </cell>
          <cell r="E17">
            <v>50500</v>
          </cell>
          <cell r="F17">
            <v>72871.666666666657</v>
          </cell>
          <cell r="G17">
            <v>83802.416666666657</v>
          </cell>
        </row>
        <row r="18">
          <cell r="B18" t="str">
            <v>South-East</v>
          </cell>
          <cell r="C18">
            <v>63366.666666666664</v>
          </cell>
          <cell r="D18">
            <v>46933.333333333336</v>
          </cell>
          <cell r="E18">
            <v>50500</v>
          </cell>
          <cell r="F18">
            <v>72871.666666666657</v>
          </cell>
          <cell r="G18">
            <v>83802.416666666657</v>
          </cell>
        </row>
        <row r="19">
          <cell r="B19" t="str">
            <v>North-Central</v>
          </cell>
          <cell r="C19">
            <v>63366.666666666664</v>
          </cell>
          <cell r="D19">
            <v>46933.333333333336</v>
          </cell>
          <cell r="E19">
            <v>50500</v>
          </cell>
          <cell r="F19">
            <v>72871.666666666657</v>
          </cell>
          <cell r="G19">
            <v>83802.416666666657</v>
          </cell>
        </row>
        <row r="20">
          <cell r="B20" t="str">
            <v xml:space="preserve">Central </v>
          </cell>
          <cell r="C20">
            <v>63366.666666666664</v>
          </cell>
          <cell r="D20">
            <v>46933.333333333336</v>
          </cell>
          <cell r="E20">
            <v>50500</v>
          </cell>
          <cell r="F20">
            <v>72871.666666666657</v>
          </cell>
          <cell r="G20">
            <v>83802.416666666657</v>
          </cell>
        </row>
        <row r="21">
          <cell r="B21" t="str">
            <v>South-West</v>
          </cell>
          <cell r="C21">
            <v>60260</v>
          </cell>
          <cell r="D21">
            <v>46540</v>
          </cell>
          <cell r="E21">
            <v>49080</v>
          </cell>
          <cell r="F21">
            <v>69299</v>
          </cell>
          <cell r="G21">
            <v>79693.850000000006</v>
          </cell>
        </row>
        <row r="22">
          <cell r="B22" t="str">
            <v>Olympic</v>
          </cell>
          <cell r="C22">
            <v>60260</v>
          </cell>
          <cell r="D22">
            <v>46540</v>
          </cell>
          <cell r="E22">
            <v>49080</v>
          </cell>
          <cell r="F22">
            <v>69299</v>
          </cell>
          <cell r="G22">
            <v>79693.850000000006</v>
          </cell>
        </row>
        <row r="23">
          <cell r="B23" t="str">
            <v>Tacoma-Pierce</v>
          </cell>
          <cell r="C23">
            <v>60260</v>
          </cell>
          <cell r="D23">
            <v>46540</v>
          </cell>
          <cell r="E23">
            <v>49080</v>
          </cell>
          <cell r="F23">
            <v>69299</v>
          </cell>
          <cell r="G23">
            <v>79693.850000000006</v>
          </cell>
        </row>
        <row r="24">
          <cell r="B24" t="str">
            <v>Snohomish</v>
          </cell>
          <cell r="C24">
            <v>60260</v>
          </cell>
          <cell r="D24">
            <v>46540</v>
          </cell>
          <cell r="E24">
            <v>49080</v>
          </cell>
          <cell r="F24">
            <v>69299</v>
          </cell>
          <cell r="G24">
            <v>79693.850000000006</v>
          </cell>
        </row>
        <row r="25">
          <cell r="B25" t="str">
            <v>North-West</v>
          </cell>
          <cell r="C25">
            <v>60260</v>
          </cell>
          <cell r="D25">
            <v>46540</v>
          </cell>
          <cell r="E25">
            <v>49080</v>
          </cell>
          <cell r="F25">
            <v>69299</v>
          </cell>
          <cell r="G25">
            <v>79693.850000000006</v>
          </cell>
        </row>
        <row r="26">
          <cell r="B26" t="str">
            <v>Seattle-King</v>
          </cell>
          <cell r="C26">
            <v>68300</v>
          </cell>
          <cell r="D26">
            <v>53000</v>
          </cell>
          <cell r="E26">
            <v>53600</v>
          </cell>
          <cell r="F26">
            <v>78545</v>
          </cell>
          <cell r="G26">
            <v>90326.75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m.wa.gov/accounting/administrative-accounting-resources/trave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muraecon.com/jobs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A3FC-4D70-4F91-AACB-5FE266D41707}">
  <sheetPr codeName="Sheet30"/>
  <dimension ref="C2:S111"/>
  <sheetViews>
    <sheetView zoomScale="85" zoomScaleNormal="85" workbookViewId="0">
      <selection activeCell="C3" sqref="C3:Q3"/>
    </sheetView>
  </sheetViews>
  <sheetFormatPr defaultRowHeight="12.75" x14ac:dyDescent="0.2"/>
  <cols>
    <col min="1" max="2" width="6" customWidth="1"/>
    <col min="3" max="3" width="42.85546875" customWidth="1"/>
    <col min="4" max="4" width="34.42578125" customWidth="1"/>
    <col min="5" max="5" width="29.140625" customWidth="1"/>
    <col min="6" max="6" width="15.28515625" customWidth="1"/>
    <col min="7" max="7" width="16.140625" customWidth="1"/>
    <col min="8" max="9" width="21" customWidth="1"/>
    <col min="10" max="10" width="19" customWidth="1"/>
    <col min="11" max="12" width="12.140625" customWidth="1"/>
    <col min="13" max="13" width="16" customWidth="1"/>
    <col min="14" max="14" width="10.7109375" customWidth="1"/>
    <col min="15" max="16" width="10.5703125" customWidth="1"/>
    <col min="18" max="18" width="14.140625" customWidth="1"/>
    <col min="24" max="24" width="14.28515625" customWidth="1"/>
    <col min="25" max="25" width="15.5703125" customWidth="1"/>
    <col min="26" max="26" width="21.5703125" customWidth="1"/>
    <col min="35" max="35" width="22.42578125" customWidth="1"/>
    <col min="36" max="36" width="19.140625" customWidth="1"/>
    <col min="37" max="37" width="14.42578125" customWidth="1"/>
  </cols>
  <sheetData>
    <row r="2" spans="3:19" ht="20.25" customHeight="1" x14ac:dyDescent="0.35">
      <c r="C2" s="239" t="s">
        <v>100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3:19" ht="41.25" customHeight="1" x14ac:dyDescent="0.25">
      <c r="C3" s="241" t="s">
        <v>251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3:19" ht="14.45" customHeight="1" x14ac:dyDescent="0.2"/>
    <row r="5" spans="3:19" ht="14.45" hidden="1" customHeight="1" x14ac:dyDescent="0.2">
      <c r="C5" s="243" t="s">
        <v>101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3:19" ht="14.45" hidden="1" customHeight="1" x14ac:dyDescent="0.2"/>
    <row r="7" spans="3:19" ht="15.75" hidden="1" x14ac:dyDescent="0.25">
      <c r="C7" s="2"/>
      <c r="D7" s="244" t="s">
        <v>102</v>
      </c>
      <c r="E7" s="244"/>
      <c r="F7" s="244" t="s">
        <v>103</v>
      </c>
      <c r="G7" s="244"/>
      <c r="H7" s="244"/>
      <c r="I7" s="244"/>
      <c r="J7" s="244" t="s">
        <v>104</v>
      </c>
      <c r="K7" s="244"/>
      <c r="L7" s="244"/>
      <c r="M7" s="244"/>
      <c r="N7" s="244"/>
      <c r="O7" s="43" t="s">
        <v>105</v>
      </c>
    </row>
    <row r="8" spans="3:19" ht="15" hidden="1" x14ac:dyDescent="0.25">
      <c r="D8" s="96" t="s">
        <v>106</v>
      </c>
      <c r="E8" s="96" t="s">
        <v>77</v>
      </c>
      <c r="F8" s="97" t="s">
        <v>78</v>
      </c>
      <c r="G8" s="97" t="s">
        <v>79</v>
      </c>
      <c r="H8" s="97" t="s">
        <v>107</v>
      </c>
      <c r="I8" s="97" t="s">
        <v>81</v>
      </c>
      <c r="J8" s="98" t="s">
        <v>82</v>
      </c>
      <c r="K8" s="98" t="s">
        <v>83</v>
      </c>
      <c r="L8" s="98" t="s">
        <v>84</v>
      </c>
      <c r="M8" s="98" t="s">
        <v>85</v>
      </c>
      <c r="N8" s="98" t="s">
        <v>86</v>
      </c>
      <c r="O8" s="161" t="s">
        <v>87</v>
      </c>
      <c r="Q8" s="74"/>
      <c r="R8" s="74"/>
      <c r="S8" s="74"/>
    </row>
    <row r="9" spans="3:19" hidden="1" x14ac:dyDescent="0.2"/>
    <row r="10" spans="3:19" ht="15.75" hidden="1" customHeight="1" x14ac:dyDescent="0.2">
      <c r="C10" t="s">
        <v>108</v>
      </c>
    </row>
    <row r="11" spans="3:19" ht="12" hidden="1" customHeight="1" x14ac:dyDescent="0.2">
      <c r="D11" s="66"/>
    </row>
    <row r="12" spans="3:19" hidden="1" x14ac:dyDescent="0.2">
      <c r="C12" s="17" t="s">
        <v>109</v>
      </c>
      <c r="D12" s="77">
        <f>ROUND(('Per FTE cost'!C$61/'Rate Assumption '!$C28/12)+('Per FTE cost'!C$32/12),0)</f>
        <v>495</v>
      </c>
      <c r="E12" s="77">
        <f>ROUND(('Per FTE cost'!D$61/'Rate Assumption '!$C28/12)+('Per FTE cost'!D$32/12),0)</f>
        <v>495</v>
      </c>
      <c r="F12" s="77">
        <f>ROUND(('Per FTE cost'!E$61/'Rate Assumption '!$C28/12)+('Per FTE cost'!E$32/12),0)</f>
        <v>529</v>
      </c>
      <c r="G12" s="77">
        <f>ROUND(('Per FTE cost'!F$61/'Rate Assumption '!$C28/12)+('Per FTE cost'!F$32/12),0)</f>
        <v>529</v>
      </c>
      <c r="H12" s="77">
        <f>ROUND(('Per FTE cost'!G$61/'Rate Assumption '!$C28/12)+('Per FTE cost'!G$32/12),0)</f>
        <v>529</v>
      </c>
      <c r="I12" s="77">
        <f>ROUND(('Per FTE cost'!H$61/'Rate Assumption '!$C28/12)+('Per FTE cost'!H$32/12),0)</f>
        <v>529</v>
      </c>
      <c r="J12" s="77">
        <f>ROUND(('Per FTE cost'!I$61/'Rate Assumption '!$C28/12)+('Per FTE cost'!I$32/12),0)</f>
        <v>508</v>
      </c>
      <c r="K12" s="77">
        <f>ROUND(('Per FTE cost'!J$61/'Rate Assumption '!$C28/12)+('Per FTE cost'!J$32/12),0)</f>
        <v>508</v>
      </c>
      <c r="L12" s="77">
        <f>ROUND(('Per FTE cost'!K$61/'Rate Assumption '!$C28/12)+('Per FTE cost'!K$32/12),0)</f>
        <v>508</v>
      </c>
      <c r="M12" s="77">
        <f>ROUND(('Per FTE cost'!L$61/'Rate Assumption '!$C28/12)+('Per FTE cost'!L$32/12),0)</f>
        <v>508</v>
      </c>
      <c r="N12" s="77">
        <f>ROUND(('Per FTE cost'!M$61/'Rate Assumption '!$C28/12)+('Per FTE cost'!M$32/12),0)</f>
        <v>508</v>
      </c>
      <c r="O12" s="77">
        <f>ROUND(('Per FTE cost'!N$61/'Rate Assumption '!$C28/12)+('Per FTE cost'!N$32/12),0)</f>
        <v>564</v>
      </c>
      <c r="P12" s="77"/>
      <c r="Q12" s="77"/>
    </row>
    <row r="13" spans="3:19" hidden="1" x14ac:dyDescent="0.2">
      <c r="C13" s="17" t="s">
        <v>110</v>
      </c>
      <c r="D13" s="77">
        <f>ROUND(('Per FTE cost'!C$61/'Rate Assumption '!$C29/12)+('Per FTE cost'!C$32/12),0)</f>
        <v>532</v>
      </c>
      <c r="E13" s="77">
        <f>ROUND(('Per FTE cost'!D$61/'Rate Assumption '!$C29/12)+('Per FTE cost'!D$32/12),0)</f>
        <v>532</v>
      </c>
      <c r="F13" s="77">
        <f>ROUND(('Per FTE cost'!E$61/'Rate Assumption '!$C29/12)+('Per FTE cost'!E$32/12),0)</f>
        <v>569</v>
      </c>
      <c r="G13" s="77">
        <f>ROUND(('Per FTE cost'!F$61/'Rate Assumption '!$C29/12)+('Per FTE cost'!F$32/12),0)</f>
        <v>569</v>
      </c>
      <c r="H13" s="77">
        <f>ROUND(('Per FTE cost'!G$61/'Rate Assumption '!$C29/12)+('Per FTE cost'!G$32/12),0)</f>
        <v>569</v>
      </c>
      <c r="I13" s="77">
        <f>ROUND(('Per FTE cost'!H$61/'Rate Assumption '!$C29/12)+('Per FTE cost'!H$32/12),0)</f>
        <v>569</v>
      </c>
      <c r="J13" s="77">
        <f>ROUND(('Per FTE cost'!I$61/'Rate Assumption '!$C29/12)+('Per FTE cost'!I$32/12),0)</f>
        <v>547</v>
      </c>
      <c r="K13" s="77">
        <f>ROUND(('Per FTE cost'!J$61/'Rate Assumption '!$C29/12)+('Per FTE cost'!J$32/12),0)</f>
        <v>547</v>
      </c>
      <c r="L13" s="77">
        <f>ROUND(('Per FTE cost'!K$61/'Rate Assumption '!$C29/12)+('Per FTE cost'!K$32/12),0)</f>
        <v>547</v>
      </c>
      <c r="M13" s="77">
        <f>ROUND(('Per FTE cost'!L$61/'Rate Assumption '!$C29/12)+('Per FTE cost'!L$32/12),0)</f>
        <v>547</v>
      </c>
      <c r="N13" s="77">
        <f>ROUND(('Per FTE cost'!M$61/'Rate Assumption '!$C29/12)+('Per FTE cost'!M$32/12),0)</f>
        <v>547</v>
      </c>
      <c r="O13" s="77">
        <f>ROUND(('Per FTE cost'!N$61/'Rate Assumption '!$C29/12)+('Per FTE cost'!N$32/12),0)</f>
        <v>607</v>
      </c>
      <c r="P13" s="77"/>
      <c r="Q13" s="77"/>
    </row>
    <row r="14" spans="3:19" hidden="1" x14ac:dyDescent="0.2">
      <c r="C14" s="17" t="s">
        <v>111</v>
      </c>
      <c r="D14" s="77">
        <f>ROUND(('Per FTE cost'!C$61/'Rate Assumption '!$C30/12)+('Per FTE cost'!C$32/12),0)</f>
        <v>577</v>
      </c>
      <c r="E14" s="77">
        <f>ROUND(('Per FTE cost'!D$61/'Rate Assumption '!$C30/12)+('Per FTE cost'!D$32/12),0)</f>
        <v>577</v>
      </c>
      <c r="F14" s="77">
        <f>ROUND(('Per FTE cost'!E$61/'Rate Assumption '!$C30/12)+('Per FTE cost'!E$32/12),0)</f>
        <v>616</v>
      </c>
      <c r="G14" s="77">
        <f>ROUND(('Per FTE cost'!F$61/'Rate Assumption '!$C30/12)+('Per FTE cost'!F$32/12),0)</f>
        <v>616</v>
      </c>
      <c r="H14" s="77">
        <f>ROUND(('Per FTE cost'!G$61/'Rate Assumption '!$C30/12)+('Per FTE cost'!G$32/12),0)</f>
        <v>616</v>
      </c>
      <c r="I14" s="77">
        <f>ROUND(('Per FTE cost'!H$61/'Rate Assumption '!$C30/12)+('Per FTE cost'!H$32/12),0)</f>
        <v>616</v>
      </c>
      <c r="J14" s="77">
        <f>ROUND(('Per FTE cost'!I$61/'Rate Assumption '!$C30/12)+('Per FTE cost'!I$32/12),0)</f>
        <v>592</v>
      </c>
      <c r="K14" s="77">
        <f>ROUND(('Per FTE cost'!J$61/'Rate Assumption '!$C30/12)+('Per FTE cost'!J$32/12),0)</f>
        <v>592</v>
      </c>
      <c r="L14" s="77">
        <f>ROUND(('Per FTE cost'!K$61/'Rate Assumption '!$C30/12)+('Per FTE cost'!K$32/12),0)</f>
        <v>592</v>
      </c>
      <c r="M14" s="77">
        <f>ROUND(('Per FTE cost'!L$61/'Rate Assumption '!$C30/12)+('Per FTE cost'!L$32/12),0)</f>
        <v>592</v>
      </c>
      <c r="N14" s="77">
        <f>ROUND(('Per FTE cost'!M$61/'Rate Assumption '!$C30/12)+('Per FTE cost'!M$32/12),0)</f>
        <v>592</v>
      </c>
      <c r="O14" s="77">
        <f>ROUND(('Per FTE cost'!N$61/'Rate Assumption '!$C30/12)+('Per FTE cost'!N$32/12),0)</f>
        <v>657</v>
      </c>
      <c r="P14" s="77"/>
      <c r="Q14" s="77"/>
    </row>
    <row r="15" spans="3:19" hidden="1" x14ac:dyDescent="0.2">
      <c r="C15" s="17" t="s">
        <v>112</v>
      </c>
      <c r="D15" s="77">
        <f>ROUND(('Per FTE cost'!C$61/'Rate Assumption '!$C31/12)+('Per FTE cost'!C$32/12),0)</f>
        <v>631</v>
      </c>
      <c r="E15" s="77">
        <f>ROUND(('Per FTE cost'!D$61/'Rate Assumption '!$C31/12)+('Per FTE cost'!D$32/12),0)</f>
        <v>631</v>
      </c>
      <c r="F15" s="77">
        <f>ROUND(('Per FTE cost'!E$61/'Rate Assumption '!$C31/12)+('Per FTE cost'!E$32/12),0)</f>
        <v>673</v>
      </c>
      <c r="G15" s="77">
        <f>ROUND(('Per FTE cost'!F$61/'Rate Assumption '!$C31/12)+('Per FTE cost'!F$32/12),0)</f>
        <v>673</v>
      </c>
      <c r="H15" s="77">
        <f>ROUND(('Per FTE cost'!G$61/'Rate Assumption '!$C31/12)+('Per FTE cost'!G$32/12),0)</f>
        <v>673</v>
      </c>
      <c r="I15" s="77">
        <f>ROUND(('Per FTE cost'!H$61/'Rate Assumption '!$C31/12)+('Per FTE cost'!H$32/12),0)</f>
        <v>673</v>
      </c>
      <c r="J15" s="77">
        <f>ROUND(('Per FTE cost'!I$61/'Rate Assumption '!$C31/12)+('Per FTE cost'!I$32/12),0)</f>
        <v>648</v>
      </c>
      <c r="K15" s="77">
        <f>ROUND(('Per FTE cost'!J$61/'Rate Assumption '!$C31/12)+('Per FTE cost'!J$32/12),0)</f>
        <v>648</v>
      </c>
      <c r="L15" s="77">
        <f>ROUND(('Per FTE cost'!K$61/'Rate Assumption '!$C31/12)+('Per FTE cost'!K$32/12),0)</f>
        <v>648</v>
      </c>
      <c r="M15" s="77">
        <f>ROUND(('Per FTE cost'!L$61/'Rate Assumption '!$C31/12)+('Per FTE cost'!L$32/12),0)</f>
        <v>648</v>
      </c>
      <c r="N15" s="77">
        <f>ROUND(('Per FTE cost'!M$61/'Rate Assumption '!$C31/12)+('Per FTE cost'!M$32/12),0)</f>
        <v>648</v>
      </c>
      <c r="O15" s="77">
        <f>ROUND(('Per FTE cost'!N$61/'Rate Assumption '!$C31/12)+('Per FTE cost'!N$32/12),0)</f>
        <v>718</v>
      </c>
      <c r="P15" s="77"/>
      <c r="Q15" s="77"/>
    </row>
    <row r="16" spans="3:19" hidden="1" x14ac:dyDescent="0.2">
      <c r="C16" s="17" t="s">
        <v>113</v>
      </c>
      <c r="D16" s="77">
        <f>ROUND(('Per FTE cost'!C$61/'Rate Assumption '!$C32/12)+('Per FTE cost'!C$32/12),0)</f>
        <v>782</v>
      </c>
      <c r="E16" s="77">
        <f>ROUND(('Per FTE cost'!D$61/'Rate Assumption '!$C32/12)+('Per FTE cost'!D$32/12),0)</f>
        <v>782</v>
      </c>
      <c r="F16" s="77">
        <f>ROUND(('Per FTE cost'!E$61/'Rate Assumption '!$C32/12)+('Per FTE cost'!E$32/12),0)</f>
        <v>834</v>
      </c>
      <c r="G16" s="77">
        <f>ROUND(('Per FTE cost'!F$61/'Rate Assumption '!$C32/12)+('Per FTE cost'!F$32/12),0)</f>
        <v>834</v>
      </c>
      <c r="H16" s="77">
        <f>ROUND(('Per FTE cost'!G$61/'Rate Assumption '!$C32/12)+('Per FTE cost'!G$32/12),0)</f>
        <v>834</v>
      </c>
      <c r="I16" s="77">
        <f>ROUND(('Per FTE cost'!H$61/'Rate Assumption '!$C32/12)+('Per FTE cost'!H$32/12),0)</f>
        <v>834</v>
      </c>
      <c r="J16" s="77">
        <f>ROUND(('Per FTE cost'!I$61/'Rate Assumption '!$C32/12)+('Per FTE cost'!I$32/12),0)</f>
        <v>803</v>
      </c>
      <c r="K16" s="77">
        <f>ROUND(('Per FTE cost'!J$61/'Rate Assumption '!$C32/12)+('Per FTE cost'!J$32/12),0)</f>
        <v>803</v>
      </c>
      <c r="L16" s="77">
        <f>ROUND(('Per FTE cost'!K$61/'Rate Assumption '!$C32/12)+('Per FTE cost'!K$32/12),0)</f>
        <v>803</v>
      </c>
      <c r="M16" s="77">
        <f>ROUND(('Per FTE cost'!L$61/'Rate Assumption '!$C32/12)+('Per FTE cost'!L$32/12),0)</f>
        <v>803</v>
      </c>
      <c r="N16" s="77">
        <f>ROUND(('Per FTE cost'!M$61/'Rate Assumption '!$C32/12)+('Per FTE cost'!M$32/12),0)</f>
        <v>803</v>
      </c>
      <c r="O16" s="77">
        <f>ROUND(('Per FTE cost'!N$61/'Rate Assumption '!$C32/12)+('Per FTE cost'!N$32/12),0)</f>
        <v>890</v>
      </c>
      <c r="P16" s="77"/>
      <c r="Q16" s="77"/>
    </row>
    <row r="17" spans="3:17" hidden="1" x14ac:dyDescent="0.2">
      <c r="C17" s="17" t="s">
        <v>114</v>
      </c>
      <c r="D17" s="77">
        <f>ROUND(('Per FTE cost'!C$61/'Rate Assumption '!$C33/12)+('Per FTE cost'!C$32/12),0)</f>
        <v>833</v>
      </c>
      <c r="E17" s="77">
        <f>ROUND(('Per FTE cost'!D$61/'Rate Assumption '!$C33/12)+('Per FTE cost'!D$32/12),0)</f>
        <v>833</v>
      </c>
      <c r="F17" s="77">
        <f>ROUND(('Per FTE cost'!E$61/'Rate Assumption '!$C33/12)+('Per FTE cost'!E$32/12),0)</f>
        <v>889</v>
      </c>
      <c r="G17" s="77">
        <f>ROUND(('Per FTE cost'!F$61/'Rate Assumption '!$C33/12)+('Per FTE cost'!F$32/12),0)</f>
        <v>889</v>
      </c>
      <c r="H17" s="77">
        <f>ROUND(('Per FTE cost'!G$61/'Rate Assumption '!$C33/12)+('Per FTE cost'!G$32/12),0)</f>
        <v>889</v>
      </c>
      <c r="I17" s="77">
        <f>ROUND(('Per FTE cost'!H$61/'Rate Assumption '!$C33/12)+('Per FTE cost'!H$32/12),0)</f>
        <v>889</v>
      </c>
      <c r="J17" s="77">
        <f>ROUND(('Per FTE cost'!I$61/'Rate Assumption '!$C33/12)+('Per FTE cost'!I$32/12),0)</f>
        <v>855</v>
      </c>
      <c r="K17" s="77">
        <f>ROUND(('Per FTE cost'!J$61/'Rate Assumption '!$C33/12)+('Per FTE cost'!J$32/12),0)</f>
        <v>855</v>
      </c>
      <c r="L17" s="77">
        <f>ROUND(('Per FTE cost'!K$61/'Rate Assumption '!$C33/12)+('Per FTE cost'!K$32/12),0)</f>
        <v>855</v>
      </c>
      <c r="M17" s="77">
        <f>ROUND(('Per FTE cost'!L$61/'Rate Assumption '!$C33/12)+('Per FTE cost'!L$32/12),0)</f>
        <v>855</v>
      </c>
      <c r="N17" s="77">
        <f>ROUND(('Per FTE cost'!M$61/'Rate Assumption '!$C33/12)+('Per FTE cost'!M$32/12),0)</f>
        <v>855</v>
      </c>
      <c r="O17" s="77">
        <f>ROUND(('Per FTE cost'!N$61/'Rate Assumption '!$C33/12)+('Per FTE cost'!N$32/12),0)</f>
        <v>948</v>
      </c>
      <c r="P17" s="77"/>
      <c r="Q17" s="77"/>
    </row>
    <row r="18" spans="3:17" hidden="1" x14ac:dyDescent="0.2">
      <c r="C18" s="17" t="s">
        <v>115</v>
      </c>
      <c r="D18" s="77">
        <f>ROUND(('Per FTE cost'!C$61/'Rate Assumption '!$C34/12)+('Per FTE cost'!C$32/12),0)</f>
        <v>961</v>
      </c>
      <c r="E18" s="77">
        <f>ROUND(('Per FTE cost'!D$61/'Rate Assumption '!$C34/12)+('Per FTE cost'!D$32/12),0)</f>
        <v>961</v>
      </c>
      <c r="F18" s="77">
        <f>ROUND(('Per FTE cost'!E$61/'Rate Assumption '!$C34/12)+('Per FTE cost'!E$32/12),0)</f>
        <v>1025</v>
      </c>
      <c r="G18" s="77">
        <f>ROUND(('Per FTE cost'!F$61/'Rate Assumption '!$C34/12)+('Per FTE cost'!F$32/12),0)</f>
        <v>1025</v>
      </c>
      <c r="H18" s="77">
        <f>ROUND(('Per FTE cost'!G$61/'Rate Assumption '!$C34/12)+('Per FTE cost'!G$32/12),0)</f>
        <v>1025</v>
      </c>
      <c r="I18" s="77">
        <f>ROUND(('Per FTE cost'!H$61/'Rate Assumption '!$C34/12)+('Per FTE cost'!H$32/12),0)</f>
        <v>1025</v>
      </c>
      <c r="J18" s="77">
        <f>ROUND(('Per FTE cost'!I$61/'Rate Assumption '!$C34/12)+('Per FTE cost'!I$32/12),0)</f>
        <v>987</v>
      </c>
      <c r="K18" s="77">
        <f>ROUND(('Per FTE cost'!J$61/'Rate Assumption '!$C34/12)+('Per FTE cost'!J$32/12),0)</f>
        <v>987</v>
      </c>
      <c r="L18" s="77">
        <f>ROUND(('Per FTE cost'!K$61/'Rate Assumption '!$C34/12)+('Per FTE cost'!K$32/12),0)</f>
        <v>987</v>
      </c>
      <c r="M18" s="77">
        <f>ROUND(('Per FTE cost'!L$61/'Rate Assumption '!$C34/12)+('Per FTE cost'!L$32/12),0)</f>
        <v>987</v>
      </c>
      <c r="N18" s="77">
        <f>ROUND(('Per FTE cost'!M$61/'Rate Assumption '!$C34/12)+('Per FTE cost'!M$32/12),0)</f>
        <v>987</v>
      </c>
      <c r="O18" s="77">
        <f>ROUND(('Per FTE cost'!N$61/'Rate Assumption '!$C34/12)+('Per FTE cost'!N$32/12),0)</f>
        <v>1093</v>
      </c>
      <c r="P18" s="77"/>
      <c r="Q18" s="77"/>
    </row>
    <row r="19" spans="3:17" hidden="1" x14ac:dyDescent="0.2"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3:17" hidden="1" x14ac:dyDescent="0.2">
      <c r="E20" s="92"/>
    </row>
    <row r="21" spans="3:17" hidden="1" x14ac:dyDescent="0.2">
      <c r="C21" t="s">
        <v>99</v>
      </c>
      <c r="D21" s="83">
        <f>ROUND('Per FTE cost'!C63/2080,2)</f>
        <v>55.78</v>
      </c>
      <c r="E21" s="83">
        <f>ROUND('Per FTE cost'!D63/2080,2)</f>
        <v>55.78</v>
      </c>
      <c r="F21" s="83">
        <f>ROUND('Per FTE cost'!E63/2080,2)</f>
        <v>57.84</v>
      </c>
      <c r="G21" s="83">
        <f>ROUND('Per FTE cost'!F63/2080,2)</f>
        <v>57.84</v>
      </c>
      <c r="H21" s="83">
        <f>ROUND('Per FTE cost'!G63/2080,2)</f>
        <v>57.84</v>
      </c>
      <c r="I21" s="83">
        <f>ROUND('Per FTE cost'!H63/2080,2)</f>
        <v>57.84</v>
      </c>
      <c r="J21" s="83">
        <f>ROUND('Per FTE cost'!I63/2080,2)</f>
        <v>56.72</v>
      </c>
      <c r="K21" s="83">
        <f>ROUND('Per FTE cost'!J63/2080,2)</f>
        <v>56.72</v>
      </c>
      <c r="L21" s="83">
        <f>ROUND('Per FTE cost'!K63/2080,2)</f>
        <v>56.72</v>
      </c>
      <c r="M21" s="83">
        <f>ROUND('Per FTE cost'!L63/2080,2)</f>
        <v>56.72</v>
      </c>
      <c r="N21" s="83">
        <f>ROUND('Per FTE cost'!M63/2080,2)</f>
        <v>56.72</v>
      </c>
      <c r="O21" s="83">
        <f>ROUND('Per FTE cost'!N63/2080,2)</f>
        <v>62.68</v>
      </c>
    </row>
    <row r="22" spans="3:17" hidden="1" x14ac:dyDescent="0.2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</row>
    <row r="23" spans="3:17" hidden="1" x14ac:dyDescent="0.2">
      <c r="D23" s="83"/>
      <c r="E23" s="83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</row>
    <row r="24" spans="3:17" hidden="1" x14ac:dyDescent="0.2">
      <c r="Q24" s="162"/>
    </row>
    <row r="25" spans="3:17" hidden="1" x14ac:dyDescent="0.2">
      <c r="Q25" s="162"/>
    </row>
    <row r="26" spans="3:17" x14ac:dyDescent="0.2">
      <c r="D26" s="163"/>
    </row>
    <row r="27" spans="3:17" x14ac:dyDescent="0.2"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3:17" x14ac:dyDescent="0.2"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3:17" ht="15.75" x14ac:dyDescent="0.25">
      <c r="D29" s="250" t="s">
        <v>102</v>
      </c>
      <c r="E29" s="250"/>
      <c r="F29" s="250" t="s">
        <v>103</v>
      </c>
      <c r="G29" s="250"/>
      <c r="H29" s="250"/>
      <c r="I29" s="250"/>
      <c r="J29" s="244" t="s">
        <v>104</v>
      </c>
      <c r="K29" s="244"/>
      <c r="L29" s="244"/>
      <c r="M29" s="244"/>
      <c r="N29" s="244"/>
      <c r="O29" s="244"/>
      <c r="P29" s="251" t="s">
        <v>105</v>
      </c>
      <c r="Q29" s="251"/>
    </row>
    <row r="30" spans="3:17" ht="15" x14ac:dyDescent="0.25">
      <c r="D30" s="107" t="s">
        <v>76</v>
      </c>
      <c r="E30" s="70" t="s">
        <v>77</v>
      </c>
      <c r="F30" s="71" t="s">
        <v>78</v>
      </c>
      <c r="G30" s="71" t="s">
        <v>79</v>
      </c>
      <c r="H30" s="109" t="s">
        <v>80</v>
      </c>
      <c r="I30" s="71" t="s">
        <v>125</v>
      </c>
      <c r="J30" s="72" t="s">
        <v>82</v>
      </c>
      <c r="K30" s="72" t="s">
        <v>83</v>
      </c>
      <c r="L30" s="72" t="s">
        <v>123</v>
      </c>
      <c r="M30" s="72" t="s">
        <v>124</v>
      </c>
      <c r="N30" s="72" t="s">
        <v>85</v>
      </c>
      <c r="O30" s="72" t="s">
        <v>86</v>
      </c>
      <c r="P30" s="108" t="s">
        <v>121</v>
      </c>
      <c r="Q30" s="108" t="s">
        <v>122</v>
      </c>
    </row>
    <row r="31" spans="3:17" x14ac:dyDescent="0.2"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3:17" ht="13.5" thickBot="1" x14ac:dyDescent="0.25"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3:17" ht="25.5" customHeight="1" x14ac:dyDescent="0.35">
      <c r="C33" s="252" t="s">
        <v>218</v>
      </c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4"/>
    </row>
    <row r="34" spans="3:17" ht="25.5" hidden="1" customHeight="1" x14ac:dyDescent="0.35">
      <c r="C34" s="19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</row>
    <row r="35" spans="3:17" ht="35.25" hidden="1" customHeight="1" x14ac:dyDescent="0.35">
      <c r="C35" s="198" t="s">
        <v>224</v>
      </c>
      <c r="D35" s="199">
        <v>0.48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</row>
    <row r="36" spans="3:17" ht="25.5" hidden="1" customHeight="1" x14ac:dyDescent="0.35">
      <c r="C36" s="173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5"/>
    </row>
    <row r="37" spans="3:17" ht="25.5" customHeight="1" x14ac:dyDescent="0.35">
      <c r="C37" s="173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5"/>
    </row>
    <row r="38" spans="3:17" ht="14.25" x14ac:dyDescent="0.2">
      <c r="C38" s="176" t="s">
        <v>118</v>
      </c>
      <c r="D38" s="178">
        <f>('Per FTE cost'!C63*'Fee Table'!$D$35)/12</f>
        <v>4641.2976709933037</v>
      </c>
      <c r="E38" s="178">
        <f>('Per FTE cost'!D63*'Fee Table'!$D$35)/12</f>
        <v>4641.2976709933037</v>
      </c>
      <c r="F38" s="178">
        <f>('Per FTE cost'!E63*'Fee Table'!$D$35)/12</f>
        <v>4812.3138800349716</v>
      </c>
      <c r="G38" s="178">
        <f>('Per FTE cost'!F63*'Fee Table'!$D$35)/12</f>
        <v>4812.3138800349716</v>
      </c>
      <c r="H38" s="178">
        <f>('Per FTE cost'!G63*'Fee Table'!$D$35)/12</f>
        <v>4812.3138800349716</v>
      </c>
      <c r="I38" s="178">
        <f>('Per FTE cost'!H63*'Fee Table'!$D$35)/12</f>
        <v>4812.3138800349716</v>
      </c>
      <c r="J38" s="178">
        <f>('Per FTE cost'!I63*'Fee Table'!$D$35)/12</f>
        <v>4719.10149997386</v>
      </c>
      <c r="K38" s="178">
        <f>('Per FTE cost'!J63*'Fee Table'!$D$35)/12</f>
        <v>4719.10149997386</v>
      </c>
      <c r="L38" s="178">
        <f>M38</f>
        <v>4719.10149997386</v>
      </c>
      <c r="M38" s="178">
        <f>('Per FTE cost'!K63*'Fee Table'!$D$35)/12</f>
        <v>4719.10149997386</v>
      </c>
      <c r="N38" s="178">
        <f>('Per FTE cost'!L63*'Fee Table'!$D$35)/12</f>
        <v>4719.10149997386</v>
      </c>
      <c r="O38" s="178">
        <f>('Per FTE cost'!M63*'Fee Table'!$D$35)/12</f>
        <v>4719.10149997386</v>
      </c>
      <c r="P38" s="178">
        <f>Q38</f>
        <v>5214.7820844238604</v>
      </c>
      <c r="Q38" s="187">
        <f>('Per FTE cost'!N63*'Fee Table'!$D$35)/12</f>
        <v>5214.7820844238604</v>
      </c>
    </row>
    <row r="39" spans="3:17" ht="14.25" x14ac:dyDescent="0.2">
      <c r="C39" s="188" t="s">
        <v>135</v>
      </c>
      <c r="D39" s="193">
        <f>'Service Pop and FTE est'!E26</f>
        <v>26.8</v>
      </c>
      <c r="E39" s="193">
        <f>'Service Pop and FTE est'!F26</f>
        <v>12.7</v>
      </c>
      <c r="F39" s="193">
        <f>'Service Pop and FTE est'!G26</f>
        <v>21.2</v>
      </c>
      <c r="G39" s="193">
        <f>'Service Pop and FTE est'!H26</f>
        <v>14.4</v>
      </c>
      <c r="H39" s="193">
        <f>'Service Pop and FTE est'!I26</f>
        <v>2.5</v>
      </c>
      <c r="I39" s="193">
        <f>'Service Pop and FTE est'!J26</f>
        <v>9</v>
      </c>
      <c r="J39" s="193">
        <f>'Service Pop and FTE est'!K26</f>
        <v>18.600000000000001</v>
      </c>
      <c r="K39" s="193">
        <f>'Service Pop and FTE est'!L26</f>
        <v>9.4</v>
      </c>
      <c r="L39" s="193">
        <f>'Service Pop and FTE est'!M26</f>
        <v>13.9</v>
      </c>
      <c r="M39" s="193">
        <f>'Service Pop and FTE est'!N26</f>
        <v>14.5</v>
      </c>
      <c r="N39" s="193">
        <f>'Service Pop and FTE est'!O26</f>
        <v>14.3</v>
      </c>
      <c r="O39" s="193">
        <f>'Service Pop and FTE est'!P26</f>
        <v>8.1999999999999993</v>
      </c>
      <c r="P39" s="193">
        <f>'Service Pop and FTE est'!Q26</f>
        <v>12.1</v>
      </c>
      <c r="Q39" s="195">
        <f>'Service Pop and FTE est'!R26</f>
        <v>11.7</v>
      </c>
    </row>
    <row r="40" spans="3:17" ht="14.25" x14ac:dyDescent="0.2">
      <c r="C40" s="176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87"/>
    </row>
    <row r="41" spans="3:17" ht="14.25" x14ac:dyDescent="0.2">
      <c r="C41" s="176" t="s">
        <v>116</v>
      </c>
      <c r="D41" s="178">
        <f>('Per FTE cost'!C61*'Fee Table'!$D$35)/12</f>
        <v>5166.8904915061239</v>
      </c>
      <c r="E41" s="178">
        <f>('Per FTE cost'!D61*'Fee Table'!$D$35)/12</f>
        <v>5166.8904915061239</v>
      </c>
      <c r="F41" s="178">
        <f>('Per FTE cost'!E61*'Fee Table'!$D$35)/12</f>
        <v>5503.2802902913818</v>
      </c>
      <c r="G41" s="178">
        <f>('Per FTE cost'!F61*'Fee Table'!$D$35)/12</f>
        <v>5503.2802902913818</v>
      </c>
      <c r="H41" s="178">
        <f>('Per FTE cost'!G61*'Fee Table'!$D$35)/12</f>
        <v>5503.2802902913818</v>
      </c>
      <c r="I41" s="178">
        <f>('Per FTE cost'!H61*'Fee Table'!$D$35)/12</f>
        <v>5503.2802902913818</v>
      </c>
      <c r="J41" s="178">
        <f>('Per FTE cost'!I61*'Fee Table'!$D$35)/12</f>
        <v>5299.8856538200143</v>
      </c>
      <c r="K41" s="178">
        <f>('Per FTE cost'!J61*'Fee Table'!$D$35)/12</f>
        <v>5299.8856538200143</v>
      </c>
      <c r="L41" s="178">
        <f>M41</f>
        <v>5299.8856538200143</v>
      </c>
      <c r="M41" s="178">
        <f>('Per FTE cost'!K61*'Fee Table'!$D$35)/12</f>
        <v>5299.8856538200143</v>
      </c>
      <c r="N41" s="178">
        <f>('Per FTE cost'!L61*'Fee Table'!$D$35)/12</f>
        <v>5299.8856538200143</v>
      </c>
      <c r="O41" s="178">
        <f>('Per FTE cost'!M61*'Fee Table'!$D$35)/12</f>
        <v>5299.8856538200143</v>
      </c>
      <c r="P41" s="178">
        <f>Q41</f>
        <v>5863.0336228853994</v>
      </c>
      <c r="Q41" s="187">
        <f>('Per FTE cost'!N61*'Fee Table'!$D$35)/12</f>
        <v>5863.0336228853994</v>
      </c>
    </row>
    <row r="42" spans="3:17" ht="15" thickBot="1" x14ac:dyDescent="0.25">
      <c r="C42" s="197" t="s">
        <v>135</v>
      </c>
      <c r="D42" s="190">
        <f>'Service Pop and FTE est'!E25</f>
        <v>28.799999999999997</v>
      </c>
      <c r="E42" s="190">
        <f>'Service Pop and FTE est'!F25</f>
        <v>13.649999999999999</v>
      </c>
      <c r="F42" s="190">
        <f>'Service Pop and FTE est'!G25</f>
        <v>22.725000000000001</v>
      </c>
      <c r="G42" s="190">
        <f>'Service Pop and FTE est'!H25</f>
        <v>15.450000000000001</v>
      </c>
      <c r="H42" s="190">
        <f>'Service Pop and FTE est'!I25</f>
        <v>2.7</v>
      </c>
      <c r="I42" s="190">
        <f>'Service Pop and FTE est'!J25</f>
        <v>9.6750000000000007</v>
      </c>
      <c r="J42" s="190">
        <f>'Service Pop and FTE est'!K25</f>
        <v>19.950000000000003</v>
      </c>
      <c r="K42" s="190">
        <f>'Service Pop and FTE est'!L25</f>
        <v>10.125</v>
      </c>
      <c r="L42" s="190">
        <f>'Service Pop and FTE est'!M25</f>
        <v>14.924999999999999</v>
      </c>
      <c r="M42" s="190">
        <f>'Service Pop and FTE est'!N25</f>
        <v>15.600000000000001</v>
      </c>
      <c r="N42" s="190">
        <f>'Service Pop and FTE est'!O25</f>
        <v>15.375</v>
      </c>
      <c r="O42" s="190">
        <f>'Service Pop and FTE est'!P25</f>
        <v>8.8500000000000014</v>
      </c>
      <c r="P42" s="190">
        <f>'Service Pop and FTE est'!Q25</f>
        <v>13.049999999999999</v>
      </c>
      <c r="Q42" s="196">
        <f>'Service Pop and FTE est'!R25</f>
        <v>12.524999999999999</v>
      </c>
    </row>
    <row r="44" spans="3:17" x14ac:dyDescent="0.2">
      <c r="D44" s="83"/>
    </row>
    <row r="45" spans="3:17" ht="13.5" thickBot="1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3:17" ht="23.25" x14ac:dyDescent="0.35">
      <c r="C46" s="252" t="s">
        <v>117</v>
      </c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4"/>
    </row>
    <row r="47" spans="3:17" ht="23.25" x14ac:dyDescent="0.35">
      <c r="C47" s="173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5"/>
    </row>
    <row r="48" spans="3:17" ht="23.25" x14ac:dyDescent="0.35">
      <c r="C48" s="173"/>
      <c r="D48" s="174" t="s">
        <v>102</v>
      </c>
      <c r="H48" s="174" t="s">
        <v>103</v>
      </c>
      <c r="I48" s="174"/>
      <c r="J48" s="174"/>
      <c r="K48" s="174"/>
      <c r="L48" s="174" t="s">
        <v>104</v>
      </c>
      <c r="M48" s="174"/>
      <c r="N48" s="174"/>
      <c r="O48" s="174"/>
      <c r="P48" s="174" t="s">
        <v>105</v>
      </c>
      <c r="Q48" s="95"/>
    </row>
    <row r="49" spans="3:17" ht="23.25" x14ac:dyDescent="0.35">
      <c r="C49" s="173"/>
      <c r="D49" s="174"/>
      <c r="H49" s="174"/>
      <c r="I49" s="174"/>
      <c r="J49" s="174"/>
      <c r="K49" s="174"/>
      <c r="L49" s="174"/>
      <c r="M49" s="174"/>
      <c r="N49" s="174"/>
      <c r="O49" s="174"/>
      <c r="P49" s="174"/>
      <c r="Q49" s="95"/>
    </row>
    <row r="50" spans="3:17" ht="23.25" x14ac:dyDescent="0.35">
      <c r="C50" s="208" t="s">
        <v>223</v>
      </c>
      <c r="D50" s="207" t="s">
        <v>239</v>
      </c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10"/>
    </row>
    <row r="51" spans="3:17" ht="23.25" x14ac:dyDescent="0.35">
      <c r="C51" s="177" t="s">
        <v>128</v>
      </c>
      <c r="D51" s="179">
        <f t="shared" ref="D51:D57" si="0">ROUND((1-$D$35)*D12,0)</f>
        <v>257</v>
      </c>
      <c r="E51" s="180"/>
      <c r="F51" s="180"/>
      <c r="G51" s="180"/>
      <c r="H51" s="179">
        <f t="shared" ref="H51:H57" si="1">ROUND((1-$D$35)*H12,0)</f>
        <v>275</v>
      </c>
      <c r="I51" s="179"/>
      <c r="J51" s="179"/>
      <c r="K51" s="179"/>
      <c r="L51" s="179">
        <f>ROUND((1-$D$35)*L12,0)</f>
        <v>264</v>
      </c>
      <c r="M51" s="181"/>
      <c r="N51" s="181"/>
      <c r="O51" s="181"/>
      <c r="P51" s="179">
        <f t="shared" ref="P51:P57" si="2">ROUND((1-$D$35)*O12,0)</f>
        <v>293</v>
      </c>
      <c r="Q51" s="175"/>
    </row>
    <row r="52" spans="3:17" ht="23.25" x14ac:dyDescent="0.35">
      <c r="C52" s="177" t="s">
        <v>129</v>
      </c>
      <c r="D52" s="179">
        <f t="shared" si="0"/>
        <v>277</v>
      </c>
      <c r="E52" s="180"/>
      <c r="F52" s="180"/>
      <c r="G52" s="180"/>
      <c r="H52" s="179">
        <f t="shared" si="1"/>
        <v>296</v>
      </c>
      <c r="I52" s="181"/>
      <c r="J52" s="181"/>
      <c r="K52" s="181"/>
      <c r="L52" s="179">
        <f t="shared" ref="L52:L57" si="3">ROUND((1-$D$35)*L13,0)</f>
        <v>284</v>
      </c>
      <c r="M52" s="181"/>
      <c r="N52" s="181"/>
      <c r="O52" s="181"/>
      <c r="P52" s="179">
        <f t="shared" si="2"/>
        <v>316</v>
      </c>
      <c r="Q52" s="175"/>
    </row>
    <row r="53" spans="3:17" ht="23.25" x14ac:dyDescent="0.35">
      <c r="C53" s="177" t="s">
        <v>130</v>
      </c>
      <c r="D53" s="179">
        <f t="shared" si="0"/>
        <v>300</v>
      </c>
      <c r="E53" s="181"/>
      <c r="F53" s="181"/>
      <c r="G53" s="181"/>
      <c r="H53" s="179">
        <f t="shared" si="1"/>
        <v>320</v>
      </c>
      <c r="I53" s="181"/>
      <c r="J53" s="181"/>
      <c r="K53" s="181"/>
      <c r="L53" s="179">
        <f t="shared" si="3"/>
        <v>308</v>
      </c>
      <c r="M53" s="181"/>
      <c r="N53" s="181"/>
      <c r="O53" s="181"/>
      <c r="P53" s="179">
        <f t="shared" si="2"/>
        <v>342</v>
      </c>
      <c r="Q53" s="175"/>
    </row>
    <row r="54" spans="3:17" ht="23.25" x14ac:dyDescent="0.35">
      <c r="C54" s="177" t="s">
        <v>131</v>
      </c>
      <c r="D54" s="179">
        <f t="shared" si="0"/>
        <v>328</v>
      </c>
      <c r="E54" s="181"/>
      <c r="F54" s="181"/>
      <c r="G54" s="181"/>
      <c r="H54" s="179">
        <f t="shared" si="1"/>
        <v>350</v>
      </c>
      <c r="I54" s="181"/>
      <c r="J54" s="181"/>
      <c r="K54" s="181"/>
      <c r="L54" s="179">
        <f t="shared" si="3"/>
        <v>337</v>
      </c>
      <c r="M54" s="181"/>
      <c r="N54" s="181"/>
      <c r="O54" s="181"/>
      <c r="P54" s="179">
        <f t="shared" si="2"/>
        <v>373</v>
      </c>
      <c r="Q54" s="175"/>
    </row>
    <row r="55" spans="3:17" ht="23.25" x14ac:dyDescent="0.35">
      <c r="C55" s="177" t="s">
        <v>132</v>
      </c>
      <c r="D55" s="179">
        <f t="shared" si="0"/>
        <v>407</v>
      </c>
      <c r="E55" s="181"/>
      <c r="F55" s="181"/>
      <c r="G55" s="181"/>
      <c r="H55" s="179">
        <f t="shared" si="1"/>
        <v>434</v>
      </c>
      <c r="I55" s="181"/>
      <c r="J55" s="181"/>
      <c r="K55" s="181"/>
      <c r="L55" s="179">
        <f t="shared" si="3"/>
        <v>418</v>
      </c>
      <c r="M55" s="181"/>
      <c r="N55" s="181"/>
      <c r="O55" s="181"/>
      <c r="P55" s="179">
        <f t="shared" si="2"/>
        <v>463</v>
      </c>
      <c r="Q55" s="175"/>
    </row>
    <row r="56" spans="3:17" ht="23.25" x14ac:dyDescent="0.35">
      <c r="C56" s="177" t="s">
        <v>133</v>
      </c>
      <c r="D56" s="179">
        <f t="shared" si="0"/>
        <v>433</v>
      </c>
      <c r="E56" s="180"/>
      <c r="F56" s="180"/>
      <c r="G56" s="180"/>
      <c r="H56" s="179">
        <f t="shared" si="1"/>
        <v>462</v>
      </c>
      <c r="I56" s="181"/>
      <c r="J56" s="181"/>
      <c r="K56" s="181"/>
      <c r="L56" s="179">
        <f t="shared" si="3"/>
        <v>445</v>
      </c>
      <c r="M56" s="181"/>
      <c r="N56" s="181"/>
      <c r="O56" s="181"/>
      <c r="P56" s="179">
        <f t="shared" si="2"/>
        <v>493</v>
      </c>
      <c r="Q56" s="175"/>
    </row>
    <row r="57" spans="3:17" ht="23.25" x14ac:dyDescent="0.35">
      <c r="C57" s="182" t="s">
        <v>134</v>
      </c>
      <c r="D57" s="183">
        <f t="shared" si="0"/>
        <v>500</v>
      </c>
      <c r="E57" s="184"/>
      <c r="F57" s="184"/>
      <c r="G57" s="184"/>
      <c r="H57" s="183">
        <f t="shared" si="1"/>
        <v>533</v>
      </c>
      <c r="I57" s="184"/>
      <c r="J57" s="184"/>
      <c r="K57" s="184"/>
      <c r="L57" s="183">
        <f t="shared" si="3"/>
        <v>513</v>
      </c>
      <c r="M57" s="184"/>
      <c r="N57" s="184"/>
      <c r="O57" s="184"/>
      <c r="P57" s="183">
        <f t="shared" si="2"/>
        <v>568</v>
      </c>
      <c r="Q57" s="185"/>
    </row>
    <row r="58" spans="3:17" ht="23.25" x14ac:dyDescent="0.35">
      <c r="C58" s="99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5"/>
    </row>
    <row r="59" spans="3:17" ht="23.25" x14ac:dyDescent="0.35">
      <c r="C59" s="255" t="s">
        <v>222</v>
      </c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7"/>
    </row>
    <row r="60" spans="3:17" ht="23.25" x14ac:dyDescent="0.35">
      <c r="C60" s="99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5"/>
    </row>
    <row r="61" spans="3:17" ht="15" x14ac:dyDescent="0.2">
      <c r="C61" s="94"/>
      <c r="D61" s="186">
        <f>(1-$D$35)*D21</f>
        <v>29.005600000000001</v>
      </c>
      <c r="E61" s="186"/>
      <c r="F61" s="186"/>
      <c r="G61" s="186"/>
      <c r="H61" s="186">
        <f>(1-$D$35)*H21</f>
        <v>30.076800000000002</v>
      </c>
      <c r="I61" s="186"/>
      <c r="J61" s="186"/>
      <c r="K61" s="180"/>
      <c r="L61" s="186">
        <f>(1-$D$35)*K21</f>
        <v>29.494399999999999</v>
      </c>
      <c r="M61" s="186"/>
      <c r="N61" s="186"/>
      <c r="O61" s="186"/>
      <c r="P61" s="186">
        <f>(1-$D$35)*N21</f>
        <v>29.494399999999999</v>
      </c>
      <c r="Q61" s="95"/>
    </row>
    <row r="62" spans="3:17" x14ac:dyDescent="0.2">
      <c r="C62" s="94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101"/>
    </row>
    <row r="63" spans="3:17" ht="51.75" customHeight="1" x14ac:dyDescent="0.25">
      <c r="C63" s="248" t="s">
        <v>217</v>
      </c>
      <c r="D63" s="241"/>
      <c r="E63" s="189"/>
      <c r="F63" s="189"/>
      <c r="G63" s="189"/>
      <c r="H63" s="83"/>
      <c r="I63" s="83"/>
      <c r="J63" s="83"/>
      <c r="K63" s="83"/>
      <c r="L63" s="83"/>
      <c r="M63" s="83"/>
      <c r="N63" s="83"/>
      <c r="O63" s="83"/>
      <c r="P63" s="83"/>
      <c r="Q63" s="101"/>
    </row>
    <row r="64" spans="3:17" ht="15" x14ac:dyDescent="0.25">
      <c r="C64" s="99" t="s">
        <v>212</v>
      </c>
      <c r="D64" s="159">
        <v>9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101"/>
    </row>
    <row r="65" spans="3:17" ht="15" x14ac:dyDescent="0.25">
      <c r="C65" s="99" t="s">
        <v>213</v>
      </c>
      <c r="D65" s="159">
        <v>12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101"/>
    </row>
    <row r="66" spans="3:17" ht="15" x14ac:dyDescent="0.25">
      <c r="C66" s="99" t="s">
        <v>214</v>
      </c>
      <c r="D66" s="159">
        <v>15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101"/>
    </row>
    <row r="67" spans="3:17" ht="15" x14ac:dyDescent="0.25">
      <c r="C67" s="99" t="s">
        <v>215</v>
      </c>
      <c r="D67" s="159">
        <v>17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101"/>
    </row>
    <row r="68" spans="3:17" ht="15" x14ac:dyDescent="0.25">
      <c r="C68" s="99" t="s">
        <v>216</v>
      </c>
      <c r="D68" s="159">
        <v>20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101"/>
    </row>
    <row r="69" spans="3:17" x14ac:dyDescent="0.2">
      <c r="C69" s="94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101"/>
    </row>
    <row r="70" spans="3:17" ht="13.5" thickBot="1" x14ac:dyDescent="0.25"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4"/>
    </row>
    <row r="76" spans="3:17" x14ac:dyDescent="0.2">
      <c r="C76" s="17" t="s">
        <v>126</v>
      </c>
      <c r="D76" s="110" t="s">
        <v>127</v>
      </c>
    </row>
    <row r="82" spans="3:7" ht="13.5" thickBot="1" x14ac:dyDescent="0.25">
      <c r="C82" s="17"/>
    </row>
    <row r="83" spans="3:7" ht="28.5" customHeight="1" x14ac:dyDescent="0.2">
      <c r="C83" s="245" t="s">
        <v>143</v>
      </c>
      <c r="D83" s="113"/>
      <c r="E83" s="113"/>
      <c r="F83" s="114" t="s">
        <v>83</v>
      </c>
      <c r="G83" s="115"/>
    </row>
    <row r="84" spans="3:7" x14ac:dyDescent="0.2">
      <c r="C84" s="246"/>
      <c r="E84" s="97" t="s">
        <v>81</v>
      </c>
      <c r="F84" s="98" t="s">
        <v>85</v>
      </c>
      <c r="G84" s="95"/>
    </row>
    <row r="85" spans="3:7" x14ac:dyDescent="0.2">
      <c r="C85" s="246"/>
      <c r="E85" s="97" t="s">
        <v>107</v>
      </c>
      <c r="F85" s="98" t="s">
        <v>144</v>
      </c>
      <c r="G85" s="95"/>
    </row>
    <row r="86" spans="3:7" x14ac:dyDescent="0.2">
      <c r="C86" s="246"/>
      <c r="D86" s="96" t="s">
        <v>106</v>
      </c>
      <c r="E86" s="97" t="s">
        <v>78</v>
      </c>
      <c r="F86" s="98" t="s">
        <v>145</v>
      </c>
      <c r="G86" s="95"/>
    </row>
    <row r="87" spans="3:7" ht="15.75" thickBot="1" x14ac:dyDescent="0.3">
      <c r="C87" s="247"/>
      <c r="D87" s="116" t="s">
        <v>146</v>
      </c>
      <c r="E87" s="117" t="s">
        <v>79</v>
      </c>
      <c r="F87" s="118" t="s">
        <v>84</v>
      </c>
      <c r="G87" s="119" t="s">
        <v>87</v>
      </c>
    </row>
    <row r="88" spans="3:7" ht="38.25" customHeight="1" x14ac:dyDescent="0.25">
      <c r="C88" s="245" t="s">
        <v>147</v>
      </c>
      <c r="D88" s="120" t="s">
        <v>148</v>
      </c>
      <c r="E88" s="120" t="s">
        <v>149</v>
      </c>
      <c r="F88" s="120" t="s">
        <v>150</v>
      </c>
      <c r="G88" s="121" t="s">
        <v>151</v>
      </c>
    </row>
    <row r="89" spans="3:7" ht="15" x14ac:dyDescent="0.25">
      <c r="C89" s="246"/>
      <c r="D89" s="122" t="s">
        <v>152</v>
      </c>
      <c r="E89" s="122" t="s">
        <v>153</v>
      </c>
      <c r="F89" s="122" t="s">
        <v>154</v>
      </c>
      <c r="G89" s="95"/>
    </row>
    <row r="90" spans="3:7" ht="15" x14ac:dyDescent="0.25">
      <c r="C90" s="246"/>
      <c r="D90" s="122" t="s">
        <v>155</v>
      </c>
      <c r="E90" s="122" t="s">
        <v>156</v>
      </c>
      <c r="F90" s="122" t="s">
        <v>157</v>
      </c>
      <c r="G90" s="95"/>
    </row>
    <row r="91" spans="3:7" ht="15" x14ac:dyDescent="0.25">
      <c r="C91" s="246"/>
      <c r="D91" s="122" t="s">
        <v>158</v>
      </c>
      <c r="E91" s="122" t="s">
        <v>159</v>
      </c>
      <c r="F91" s="122" t="s">
        <v>160</v>
      </c>
      <c r="G91" s="95"/>
    </row>
    <row r="92" spans="3:7" ht="15" x14ac:dyDescent="0.25">
      <c r="C92" s="246"/>
      <c r="D92" s="122" t="s">
        <v>161</v>
      </c>
      <c r="E92" s="122" t="s">
        <v>162</v>
      </c>
      <c r="F92" s="122" t="s">
        <v>163</v>
      </c>
      <c r="G92" s="95"/>
    </row>
    <row r="93" spans="3:7" ht="15" x14ac:dyDescent="0.25">
      <c r="C93" s="246"/>
      <c r="D93" s="122" t="s">
        <v>164</v>
      </c>
      <c r="E93" s="122" t="s">
        <v>165</v>
      </c>
      <c r="F93" s="122" t="s">
        <v>166</v>
      </c>
      <c r="G93" s="95"/>
    </row>
    <row r="94" spans="3:7" ht="15" x14ac:dyDescent="0.25">
      <c r="C94" s="246"/>
      <c r="E94" s="122" t="s">
        <v>167</v>
      </c>
      <c r="F94" s="122" t="s">
        <v>168</v>
      </c>
      <c r="G94" s="95"/>
    </row>
    <row r="95" spans="3:7" ht="15" x14ac:dyDescent="0.25">
      <c r="C95" s="246"/>
      <c r="E95" s="122" t="s">
        <v>169</v>
      </c>
      <c r="F95" s="122" t="s">
        <v>85</v>
      </c>
      <c r="G95" s="95"/>
    </row>
    <row r="96" spans="3:7" ht="15" x14ac:dyDescent="0.25">
      <c r="C96" s="246"/>
      <c r="E96" s="122" t="s">
        <v>170</v>
      </c>
      <c r="F96" s="122" t="s">
        <v>171</v>
      </c>
      <c r="G96" s="95"/>
    </row>
    <row r="97" spans="3:7" ht="15" x14ac:dyDescent="0.25">
      <c r="C97" s="246"/>
      <c r="E97" s="122" t="s">
        <v>172</v>
      </c>
      <c r="F97" s="122" t="s">
        <v>173</v>
      </c>
      <c r="G97" s="95"/>
    </row>
    <row r="98" spans="3:7" ht="15" x14ac:dyDescent="0.25">
      <c r="C98" s="246"/>
      <c r="E98" s="122" t="s">
        <v>174</v>
      </c>
      <c r="F98" s="122" t="s">
        <v>175</v>
      </c>
      <c r="G98" s="95"/>
    </row>
    <row r="99" spans="3:7" ht="15" x14ac:dyDescent="0.25">
      <c r="C99" s="246"/>
      <c r="E99" s="122" t="s">
        <v>176</v>
      </c>
      <c r="F99" s="122" t="s">
        <v>177</v>
      </c>
      <c r="G99" s="95"/>
    </row>
    <row r="100" spans="3:7" ht="15" x14ac:dyDescent="0.25">
      <c r="C100" s="246"/>
      <c r="E100" s="122" t="s">
        <v>178</v>
      </c>
      <c r="F100" s="106" t="s">
        <v>179</v>
      </c>
      <c r="G100" s="95"/>
    </row>
    <row r="101" spans="3:7" ht="15" x14ac:dyDescent="0.25">
      <c r="C101" s="246"/>
      <c r="E101" s="122" t="s">
        <v>180</v>
      </c>
      <c r="G101" s="95"/>
    </row>
    <row r="102" spans="3:7" ht="15" x14ac:dyDescent="0.25">
      <c r="C102" s="246"/>
      <c r="E102" s="122" t="s">
        <v>181</v>
      </c>
      <c r="G102" s="95"/>
    </row>
    <row r="103" spans="3:7" ht="15" x14ac:dyDescent="0.25">
      <c r="C103" s="246"/>
      <c r="E103" s="122" t="s">
        <v>182</v>
      </c>
      <c r="G103" s="95"/>
    </row>
    <row r="104" spans="3:7" ht="15" x14ac:dyDescent="0.25">
      <c r="C104" s="246"/>
      <c r="E104" s="122" t="s">
        <v>183</v>
      </c>
      <c r="G104" s="95"/>
    </row>
    <row r="105" spans="3:7" ht="15" x14ac:dyDescent="0.25">
      <c r="C105" s="246"/>
      <c r="E105" s="122" t="s">
        <v>184</v>
      </c>
      <c r="G105" s="95"/>
    </row>
    <row r="106" spans="3:7" ht="15.75" thickBot="1" x14ac:dyDescent="0.3">
      <c r="C106" s="247"/>
      <c r="D106" s="123"/>
      <c r="E106" s="124" t="s">
        <v>185</v>
      </c>
      <c r="F106" s="123"/>
      <c r="G106" s="125"/>
    </row>
    <row r="107" spans="3:7" x14ac:dyDescent="0.2">
      <c r="D107" s="17"/>
      <c r="F107" s="17"/>
    </row>
    <row r="109" spans="3:7" x14ac:dyDescent="0.2">
      <c r="F109" s="17"/>
    </row>
    <row r="111" spans="3:7" x14ac:dyDescent="0.2">
      <c r="F111" s="17"/>
    </row>
  </sheetData>
  <mergeCells count="17">
    <mergeCell ref="C83:C87"/>
    <mergeCell ref="C88:C106"/>
    <mergeCell ref="C63:D63"/>
    <mergeCell ref="C27:Q27"/>
    <mergeCell ref="D29:E29"/>
    <mergeCell ref="F29:I29"/>
    <mergeCell ref="J29:O29"/>
    <mergeCell ref="P29:Q29"/>
    <mergeCell ref="C46:Q46"/>
    <mergeCell ref="C33:Q33"/>
    <mergeCell ref="C59:Q59"/>
    <mergeCell ref="C2:Q2"/>
    <mergeCell ref="C3:Q3"/>
    <mergeCell ref="C5:Q5"/>
    <mergeCell ref="D7:E7"/>
    <mergeCell ref="F7:I7"/>
    <mergeCell ref="J7:N7"/>
  </mergeCells>
  <phoneticPr fontId="14" type="noConversion"/>
  <conditionalFormatting sqref="D12:O18">
    <cfRule type="cellIs" dxfId="0" priority="2" operator="lessThan">
      <formula>481</formula>
    </cfRule>
  </conditionalFormatting>
  <hyperlinks>
    <hyperlink ref="D76" r:id="rId1" display="https://ofm.wa.gov/accounting/administrative-accounting-resources/travel" xr:uid="{8F81759A-9FD7-40EA-8727-C4D9A211B5EC}"/>
  </hyperlinks>
  <pageMargins left="0.7" right="0.7" top="0.75" bottom="0.75" header="0.3" footer="0.3"/>
  <pageSetup orientation="portrait" horizontalDpi="90" verticalDpi="90" r:id="rId2"/>
  <ignoredErrors>
    <ignoredError sqref="L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4B2B-E0AC-4076-BF0B-74A4971C950B}">
  <dimension ref="B2:O44"/>
  <sheetViews>
    <sheetView workbookViewId="0">
      <selection activeCell="I29" sqref="I29"/>
    </sheetView>
  </sheetViews>
  <sheetFormatPr defaultColWidth="9.140625" defaultRowHeight="15" x14ac:dyDescent="0.25"/>
  <cols>
    <col min="1" max="1" width="9.140625" style="211"/>
    <col min="2" max="2" width="22.42578125" style="211" customWidth="1"/>
    <col min="3" max="3" width="15.42578125" style="211" customWidth="1"/>
    <col min="4" max="4" width="13.28515625" style="211" customWidth="1"/>
    <col min="5" max="5" width="15.42578125" style="211" customWidth="1"/>
    <col min="6" max="6" width="13.28515625" style="211" customWidth="1"/>
    <col min="7" max="7" width="18.85546875" style="211" customWidth="1"/>
    <col min="8" max="8" width="9.140625" style="211"/>
    <col min="9" max="9" width="4.7109375" style="211" customWidth="1"/>
    <col min="10" max="10" width="19.85546875" style="211" customWidth="1"/>
    <col min="11" max="11" width="20.85546875" style="211" customWidth="1"/>
    <col min="12" max="12" width="15.7109375" style="211" customWidth="1"/>
    <col min="13" max="13" width="13.5703125" style="211" customWidth="1"/>
    <col min="14" max="14" width="11.5703125" style="211" customWidth="1"/>
    <col min="15" max="15" width="13.28515625" style="211" customWidth="1"/>
    <col min="16" max="16384" width="9.140625" style="211"/>
  </cols>
  <sheetData>
    <row r="2" spans="2:15" ht="15.75" thickBot="1" x14ac:dyDescent="0.3"/>
    <row r="3" spans="2:15" ht="30" customHeight="1" x14ac:dyDescent="0.25">
      <c r="B3" s="212" t="s">
        <v>240</v>
      </c>
      <c r="C3" s="213"/>
      <c r="D3" s="213"/>
      <c r="E3" s="213"/>
      <c r="F3" s="213"/>
      <c r="G3" s="214"/>
      <c r="J3" s="212" t="s">
        <v>240</v>
      </c>
      <c r="K3" s="213"/>
      <c r="L3" s="213"/>
      <c r="M3" s="213"/>
      <c r="N3" s="213"/>
      <c r="O3" s="214"/>
    </row>
    <row r="4" spans="2:15" x14ac:dyDescent="0.25">
      <c r="B4" s="215"/>
      <c r="G4" s="216"/>
      <c r="J4" s="215"/>
      <c r="O4" s="216"/>
    </row>
    <row r="5" spans="2:15" x14ac:dyDescent="0.25">
      <c r="B5" s="258" t="s">
        <v>248</v>
      </c>
      <c r="C5" s="259"/>
      <c r="D5" s="259"/>
      <c r="E5" s="259"/>
      <c r="F5" s="259"/>
      <c r="G5" s="260"/>
      <c r="J5" s="258" t="s">
        <v>249</v>
      </c>
      <c r="K5" s="259"/>
      <c r="L5" s="259"/>
      <c r="M5" s="259"/>
      <c r="N5" s="259"/>
      <c r="O5" s="260"/>
    </row>
    <row r="6" spans="2:15" x14ac:dyDescent="0.25">
      <c r="B6" s="215"/>
      <c r="G6" s="216"/>
      <c r="J6" s="215"/>
      <c r="O6" s="216"/>
    </row>
    <row r="7" spans="2:15" ht="75" x14ac:dyDescent="0.25">
      <c r="B7" s="217" t="s">
        <v>241</v>
      </c>
      <c r="C7" s="227" t="s">
        <v>242</v>
      </c>
      <c r="D7" s="228" t="s">
        <v>243</v>
      </c>
      <c r="E7" s="228" t="s">
        <v>244</v>
      </c>
      <c r="F7" s="218" t="s">
        <v>245</v>
      </c>
      <c r="G7" s="218" t="s">
        <v>246</v>
      </c>
      <c r="J7" s="217" t="s">
        <v>241</v>
      </c>
      <c r="K7" s="227" t="s">
        <v>242</v>
      </c>
      <c r="L7" s="228" t="s">
        <v>243</v>
      </c>
      <c r="M7" s="228" t="s">
        <v>244</v>
      </c>
      <c r="N7" s="218" t="s">
        <v>245</v>
      </c>
      <c r="O7" s="218" t="s">
        <v>246</v>
      </c>
    </row>
    <row r="8" spans="2:15" x14ac:dyDescent="0.25">
      <c r="B8" s="215"/>
      <c r="C8" s="229"/>
      <c r="D8" s="230"/>
      <c r="E8" s="230"/>
      <c r="F8" s="219"/>
      <c r="G8" s="219"/>
      <c r="J8" s="215"/>
      <c r="K8" s="229"/>
      <c r="L8" s="230"/>
      <c r="M8" s="230"/>
      <c r="N8" s="219"/>
      <c r="O8" s="219"/>
    </row>
    <row r="9" spans="2:15" x14ac:dyDescent="0.25">
      <c r="B9" s="231" t="s">
        <v>76</v>
      </c>
      <c r="C9" s="202">
        <v>58266.666666666664</v>
      </c>
      <c r="D9" s="230">
        <f>C9/2080*'Rate Assumption '!$C$15</f>
        <v>3361.5384615384614</v>
      </c>
      <c r="E9" s="230">
        <f>C9/2080*'Rate Assumption '!$C$16</f>
        <v>2465.1282051282051</v>
      </c>
      <c r="F9" s="219">
        <f>'Rate Assumption '!$C$18</f>
        <v>4200</v>
      </c>
      <c r="G9" s="221">
        <f>SUM(C9:F9)</f>
        <v>68293.333333333328</v>
      </c>
      <c r="J9" s="231" t="s">
        <v>76</v>
      </c>
      <c r="K9" s="202">
        <v>45900</v>
      </c>
      <c r="L9" s="230">
        <f>K9/2080*'Rate Assumption '!$C$15</f>
        <v>2648.0769230769233</v>
      </c>
      <c r="M9" s="230">
        <f>K9/2080*'Rate Assumption '!$C$16</f>
        <v>1941.9230769230771</v>
      </c>
      <c r="N9" s="219">
        <f>'Rate Assumption '!$C$18</f>
        <v>4200</v>
      </c>
      <c r="O9" s="221">
        <f>SUM(K9:N9)</f>
        <v>54690</v>
      </c>
    </row>
    <row r="10" spans="2:15" x14ac:dyDescent="0.25">
      <c r="B10" s="231" t="s">
        <v>77</v>
      </c>
      <c r="C10" s="202">
        <v>58266.666666666664</v>
      </c>
      <c r="D10" s="230">
        <f>C10/2080*'Rate Assumption '!$C$15</f>
        <v>3361.5384615384614</v>
      </c>
      <c r="E10" s="230">
        <f>C10/2080*'Rate Assumption '!$C$16</f>
        <v>2465.1282051282051</v>
      </c>
      <c r="F10" s="219">
        <f>'Rate Assumption '!$C$18</f>
        <v>4200</v>
      </c>
      <c r="G10" s="221">
        <f t="shared" ref="G10:G20" si="0">SUM(C10:F10)</f>
        <v>68293.333333333328</v>
      </c>
      <c r="J10" s="231" t="s">
        <v>77</v>
      </c>
      <c r="K10" s="202">
        <v>45900</v>
      </c>
      <c r="L10" s="230">
        <f>K10/2080*'Rate Assumption '!$C$15</f>
        <v>2648.0769230769233</v>
      </c>
      <c r="M10" s="230">
        <f>K10/2080*'Rate Assumption '!$C$16</f>
        <v>1941.9230769230771</v>
      </c>
      <c r="N10" s="219">
        <f>'Rate Assumption '!$C$18</f>
        <v>4200</v>
      </c>
      <c r="O10" s="221">
        <f t="shared" ref="O10:O20" si="1">SUM(K10:N10)</f>
        <v>54690</v>
      </c>
    </row>
    <row r="11" spans="2:15" x14ac:dyDescent="0.25">
      <c r="B11" s="233" t="s">
        <v>78</v>
      </c>
      <c r="C11" s="202">
        <v>63366.666666666664</v>
      </c>
      <c r="D11" s="230">
        <f>C11/2080*'Rate Assumption '!$C$15</f>
        <v>3655.7692307692305</v>
      </c>
      <c r="E11" s="230">
        <f>C11/2080*'Rate Assumption '!$C$16</f>
        <v>2680.8974358974356</v>
      </c>
      <c r="F11" s="219">
        <f>'Rate Assumption '!$C$18</f>
        <v>4200</v>
      </c>
      <c r="G11" s="221">
        <f t="shared" si="0"/>
        <v>73903.333333333328</v>
      </c>
      <c r="J11" s="233" t="s">
        <v>78</v>
      </c>
      <c r="K11" s="202">
        <v>46933.333333333336</v>
      </c>
      <c r="L11" s="230">
        <f>K11/2080*'Rate Assumption '!$C$15</f>
        <v>2707.6923076923081</v>
      </c>
      <c r="M11" s="230">
        <f>K11/2080*'Rate Assumption '!$C$16</f>
        <v>1985.6410256410259</v>
      </c>
      <c r="N11" s="219">
        <f>'Rate Assumption '!$C$18</f>
        <v>4200</v>
      </c>
      <c r="O11" s="221">
        <f t="shared" si="1"/>
        <v>55826.666666666664</v>
      </c>
    </row>
    <row r="12" spans="2:15" x14ac:dyDescent="0.25">
      <c r="B12" s="233" t="s">
        <v>79</v>
      </c>
      <c r="C12" s="202">
        <v>63366.666666666664</v>
      </c>
      <c r="D12" s="230">
        <f>C12/2080*'Rate Assumption '!$C$15</f>
        <v>3655.7692307692305</v>
      </c>
      <c r="E12" s="230">
        <f>C12/2080*'Rate Assumption '!$C$16</f>
        <v>2680.8974358974356</v>
      </c>
      <c r="F12" s="219">
        <f>'Rate Assumption '!$C$18</f>
        <v>4200</v>
      </c>
      <c r="G12" s="221">
        <f t="shared" si="0"/>
        <v>73903.333333333328</v>
      </c>
      <c r="J12" s="233" t="s">
        <v>79</v>
      </c>
      <c r="K12" s="202">
        <v>46933.333333333336</v>
      </c>
      <c r="L12" s="230">
        <f>K12/2080*'Rate Assumption '!$C$15</f>
        <v>2707.6923076923081</v>
      </c>
      <c r="M12" s="230">
        <f>K12/2080*'Rate Assumption '!$C$16</f>
        <v>1985.6410256410259</v>
      </c>
      <c r="N12" s="219">
        <f>'Rate Assumption '!$C$18</f>
        <v>4200</v>
      </c>
      <c r="O12" s="221">
        <f t="shared" si="1"/>
        <v>55826.666666666664</v>
      </c>
    </row>
    <row r="13" spans="2:15" x14ac:dyDescent="0.25">
      <c r="B13" s="233" t="s">
        <v>80</v>
      </c>
      <c r="C13" s="202">
        <v>63366.666666666664</v>
      </c>
      <c r="D13" s="230">
        <f>C13/2080*'Rate Assumption '!$C$15</f>
        <v>3655.7692307692305</v>
      </c>
      <c r="E13" s="230">
        <f>C13/2080*'Rate Assumption '!$C$16</f>
        <v>2680.8974358974356</v>
      </c>
      <c r="F13" s="219">
        <f>'Rate Assumption '!$C$18</f>
        <v>4200</v>
      </c>
      <c r="G13" s="221">
        <f t="shared" si="0"/>
        <v>73903.333333333328</v>
      </c>
      <c r="J13" s="233" t="s">
        <v>80</v>
      </c>
      <c r="K13" s="202">
        <v>46933.333333333336</v>
      </c>
      <c r="L13" s="230">
        <f>K13/2080*'Rate Assumption '!$C$15</f>
        <v>2707.6923076923081</v>
      </c>
      <c r="M13" s="230">
        <f>K13/2080*'Rate Assumption '!$C$16</f>
        <v>1985.6410256410259</v>
      </c>
      <c r="N13" s="219">
        <f>'Rate Assumption '!$C$18</f>
        <v>4200</v>
      </c>
      <c r="O13" s="221">
        <f t="shared" si="1"/>
        <v>55826.666666666664</v>
      </c>
    </row>
    <row r="14" spans="2:15" x14ac:dyDescent="0.25">
      <c r="B14" s="233" t="s">
        <v>81</v>
      </c>
      <c r="C14" s="202">
        <v>63366.666666666664</v>
      </c>
      <c r="D14" s="230">
        <f>C14/2080*'Rate Assumption '!$C$15</f>
        <v>3655.7692307692305</v>
      </c>
      <c r="E14" s="230">
        <f>C14/2080*'Rate Assumption '!$C$16</f>
        <v>2680.8974358974356</v>
      </c>
      <c r="F14" s="219">
        <f>'Rate Assumption '!$C$18</f>
        <v>4200</v>
      </c>
      <c r="G14" s="221">
        <f t="shared" si="0"/>
        <v>73903.333333333328</v>
      </c>
      <c r="J14" s="233" t="s">
        <v>81</v>
      </c>
      <c r="K14" s="202">
        <v>46933.333333333336</v>
      </c>
      <c r="L14" s="230">
        <f>K14/2080*'Rate Assumption '!$C$15</f>
        <v>2707.6923076923081</v>
      </c>
      <c r="M14" s="230">
        <f>K14/2080*'Rate Assumption '!$C$16</f>
        <v>1985.6410256410259</v>
      </c>
      <c r="N14" s="219">
        <f>'Rate Assumption '!$C$18</f>
        <v>4200</v>
      </c>
      <c r="O14" s="221">
        <f t="shared" si="1"/>
        <v>55826.666666666664</v>
      </c>
    </row>
    <row r="15" spans="2:15" x14ac:dyDescent="0.25">
      <c r="B15" s="234" t="s">
        <v>82</v>
      </c>
      <c r="C15" s="202">
        <v>60260</v>
      </c>
      <c r="D15" s="230">
        <f>C15/2080*'Rate Assumption '!$C$15</f>
        <v>3476.5384615384614</v>
      </c>
      <c r="E15" s="230">
        <f>C15/2080*'Rate Assumption '!$C$16</f>
        <v>2549.4615384615386</v>
      </c>
      <c r="F15" s="219">
        <f>'Rate Assumption '!$C$18</f>
        <v>4200</v>
      </c>
      <c r="G15" s="221">
        <f t="shared" si="0"/>
        <v>70486</v>
      </c>
      <c r="J15" s="234" t="s">
        <v>82</v>
      </c>
      <c r="K15" s="202">
        <v>46540</v>
      </c>
      <c r="L15" s="230">
        <f>K15/2080*'Rate Assumption '!$C$15</f>
        <v>2685</v>
      </c>
      <c r="M15" s="230">
        <f>K15/2080*'Rate Assumption '!$C$16</f>
        <v>1969</v>
      </c>
      <c r="N15" s="219">
        <f>'Rate Assumption '!$C$18</f>
        <v>4200</v>
      </c>
      <c r="O15" s="221">
        <f t="shared" si="1"/>
        <v>55394</v>
      </c>
    </row>
    <row r="16" spans="2:15" x14ac:dyDescent="0.25">
      <c r="B16" s="234" t="s">
        <v>83</v>
      </c>
      <c r="C16" s="202">
        <v>60260</v>
      </c>
      <c r="D16" s="230">
        <f>C16/2080*'Rate Assumption '!$C$15</f>
        <v>3476.5384615384614</v>
      </c>
      <c r="E16" s="230">
        <f>C16/2080*'Rate Assumption '!$C$16</f>
        <v>2549.4615384615386</v>
      </c>
      <c r="F16" s="219">
        <f>'Rate Assumption '!$C$18</f>
        <v>4200</v>
      </c>
      <c r="G16" s="221">
        <f t="shared" si="0"/>
        <v>70486</v>
      </c>
      <c r="J16" s="234" t="s">
        <v>83</v>
      </c>
      <c r="K16" s="202">
        <v>46540</v>
      </c>
      <c r="L16" s="230">
        <f>K16/2080*'Rate Assumption '!$C$15</f>
        <v>2685</v>
      </c>
      <c r="M16" s="230">
        <f>K16/2080*'Rate Assumption '!$C$16</f>
        <v>1969</v>
      </c>
      <c r="N16" s="219">
        <f>'Rate Assumption '!$C$18</f>
        <v>4200</v>
      </c>
      <c r="O16" s="221">
        <f t="shared" si="1"/>
        <v>55394</v>
      </c>
    </row>
    <row r="17" spans="2:15" x14ac:dyDescent="0.25">
      <c r="B17" s="234" t="s">
        <v>84</v>
      </c>
      <c r="C17" s="202">
        <v>60260</v>
      </c>
      <c r="D17" s="230">
        <f>C17/2080*'Rate Assumption '!$C$15</f>
        <v>3476.5384615384614</v>
      </c>
      <c r="E17" s="230">
        <f>C17/2080*'Rate Assumption '!$C$16</f>
        <v>2549.4615384615386</v>
      </c>
      <c r="F17" s="219">
        <f>'Rate Assumption '!$C$18</f>
        <v>4200</v>
      </c>
      <c r="G17" s="221">
        <f t="shared" si="0"/>
        <v>70486</v>
      </c>
      <c r="J17" s="234" t="s">
        <v>84</v>
      </c>
      <c r="K17" s="202">
        <v>46540</v>
      </c>
      <c r="L17" s="230">
        <f>K17/2080*'Rate Assumption '!$C$15</f>
        <v>2685</v>
      </c>
      <c r="M17" s="230">
        <f>K17/2080*'Rate Assumption '!$C$16</f>
        <v>1969</v>
      </c>
      <c r="N17" s="219">
        <f>'Rate Assumption '!$C$18</f>
        <v>4200</v>
      </c>
      <c r="O17" s="221">
        <f t="shared" si="1"/>
        <v>55394</v>
      </c>
    </row>
    <row r="18" spans="2:15" x14ac:dyDescent="0.25">
      <c r="B18" s="234" t="s">
        <v>85</v>
      </c>
      <c r="C18" s="202">
        <v>60260</v>
      </c>
      <c r="D18" s="230">
        <f>C18/2080*'Rate Assumption '!$C$15</f>
        <v>3476.5384615384614</v>
      </c>
      <c r="E18" s="230">
        <f>C18/2080*'Rate Assumption '!$C$16</f>
        <v>2549.4615384615386</v>
      </c>
      <c r="F18" s="219">
        <f>'Rate Assumption '!$C$18</f>
        <v>4200</v>
      </c>
      <c r="G18" s="221">
        <f t="shared" si="0"/>
        <v>70486</v>
      </c>
      <c r="J18" s="234" t="s">
        <v>85</v>
      </c>
      <c r="K18" s="202">
        <v>46540</v>
      </c>
      <c r="L18" s="230">
        <f>K18/2080*'Rate Assumption '!$C$15</f>
        <v>2685</v>
      </c>
      <c r="M18" s="230">
        <f>K18/2080*'Rate Assumption '!$C$16</f>
        <v>1969</v>
      </c>
      <c r="N18" s="219">
        <f>'Rate Assumption '!$C$18</f>
        <v>4200</v>
      </c>
      <c r="O18" s="221">
        <f t="shared" si="1"/>
        <v>55394</v>
      </c>
    </row>
    <row r="19" spans="2:15" x14ac:dyDescent="0.25">
      <c r="B19" s="234" t="s">
        <v>86</v>
      </c>
      <c r="C19" s="202">
        <v>60260</v>
      </c>
      <c r="D19" s="230">
        <f>C19/2080*'Rate Assumption '!$C$15</f>
        <v>3476.5384615384614</v>
      </c>
      <c r="E19" s="230">
        <f>C19/2080*'Rate Assumption '!$C$16</f>
        <v>2549.4615384615386</v>
      </c>
      <c r="F19" s="219">
        <f>'Rate Assumption '!$C$18</f>
        <v>4200</v>
      </c>
      <c r="G19" s="221">
        <f t="shared" si="0"/>
        <v>70486</v>
      </c>
      <c r="J19" s="234" t="s">
        <v>86</v>
      </c>
      <c r="K19" s="202">
        <v>46540</v>
      </c>
      <c r="L19" s="230">
        <f>K19/2080*'Rate Assumption '!$C$15</f>
        <v>2685</v>
      </c>
      <c r="M19" s="230">
        <f>K19/2080*'Rate Assumption '!$C$16</f>
        <v>1969</v>
      </c>
      <c r="N19" s="219">
        <f>'Rate Assumption '!$C$18</f>
        <v>4200</v>
      </c>
      <c r="O19" s="221">
        <f t="shared" si="1"/>
        <v>55394</v>
      </c>
    </row>
    <row r="20" spans="2:15" x14ac:dyDescent="0.25">
      <c r="B20" s="235" t="s">
        <v>87</v>
      </c>
      <c r="C20" s="202">
        <v>68300</v>
      </c>
      <c r="D20" s="230">
        <f>C20/2080*'Rate Assumption '!$C$15</f>
        <v>3940.3846153846152</v>
      </c>
      <c r="E20" s="230">
        <f>C20/2080*'Rate Assumption '!$C$16</f>
        <v>2889.6153846153843</v>
      </c>
      <c r="F20" s="219">
        <f>'Rate Assumption '!$C$18</f>
        <v>4200</v>
      </c>
      <c r="G20" s="221">
        <f t="shared" si="0"/>
        <v>79330</v>
      </c>
      <c r="J20" s="235" t="s">
        <v>87</v>
      </c>
      <c r="K20" s="202">
        <v>53000</v>
      </c>
      <c r="L20" s="230">
        <f>K20/2080*'Rate Assumption '!$C$15</f>
        <v>3057.6923076923076</v>
      </c>
      <c r="M20" s="230">
        <f>K20/2080*'Rate Assumption '!$C$16</f>
        <v>2242.3076923076924</v>
      </c>
      <c r="N20" s="219">
        <f>'Rate Assumption '!$C$18</f>
        <v>4200</v>
      </c>
      <c r="O20" s="221">
        <f t="shared" si="1"/>
        <v>62500</v>
      </c>
    </row>
    <row r="21" spans="2:15" x14ac:dyDescent="0.25">
      <c r="B21" s="220"/>
      <c r="C21" s="232"/>
      <c r="D21" s="232"/>
      <c r="E21" s="232"/>
      <c r="F21"/>
      <c r="G21" s="221"/>
      <c r="J21" s="220"/>
      <c r="K21" s="232"/>
      <c r="L21" s="232"/>
      <c r="M21" s="232"/>
      <c r="N21"/>
      <c r="O21" s="221"/>
    </row>
    <row r="22" spans="2:15" x14ac:dyDescent="0.25">
      <c r="B22" s="215"/>
      <c r="G22" s="216"/>
      <c r="J22" s="215"/>
      <c r="O22" s="216"/>
    </row>
    <row r="23" spans="2:15" x14ac:dyDescent="0.25">
      <c r="B23" s="222"/>
      <c r="C23" s="236"/>
      <c r="D23" s="236"/>
      <c r="E23" s="236"/>
      <c r="F23" s="236"/>
      <c r="G23" s="223"/>
      <c r="J23" s="222"/>
      <c r="K23" s="236"/>
      <c r="L23" s="236"/>
      <c r="M23" s="236"/>
      <c r="N23" s="236"/>
      <c r="O23" s="223"/>
    </row>
    <row r="24" spans="2:15" ht="15.75" thickBot="1" x14ac:dyDescent="0.3">
      <c r="B24" s="224"/>
      <c r="C24" s="225"/>
      <c r="D24" s="225"/>
      <c r="E24" s="225"/>
      <c r="F24" s="225"/>
      <c r="G24" s="226"/>
      <c r="J24" s="224"/>
      <c r="K24" s="225"/>
      <c r="L24" s="225"/>
      <c r="M24" s="225"/>
      <c r="N24" s="225"/>
      <c r="O24" s="226"/>
    </row>
    <row r="33" spans="4:4" x14ac:dyDescent="0.25">
      <c r="D33" s="202"/>
    </row>
    <row r="34" spans="4:4" x14ac:dyDescent="0.25">
      <c r="D34" s="202"/>
    </row>
    <row r="35" spans="4:4" x14ac:dyDescent="0.25">
      <c r="D35" s="202"/>
    </row>
    <row r="36" spans="4:4" x14ac:dyDescent="0.25">
      <c r="D36" s="202"/>
    </row>
    <row r="37" spans="4:4" x14ac:dyDescent="0.25">
      <c r="D37" s="202"/>
    </row>
    <row r="38" spans="4:4" x14ac:dyDescent="0.25">
      <c r="D38" s="202"/>
    </row>
    <row r="39" spans="4:4" x14ac:dyDescent="0.25">
      <c r="D39" s="202"/>
    </row>
    <row r="40" spans="4:4" x14ac:dyDescent="0.25">
      <c r="D40" s="202"/>
    </row>
    <row r="41" spans="4:4" x14ac:dyDescent="0.25">
      <c r="D41" s="202"/>
    </row>
    <row r="42" spans="4:4" x14ac:dyDescent="0.25">
      <c r="D42" s="202"/>
    </row>
    <row r="43" spans="4:4" x14ac:dyDescent="0.25">
      <c r="D43" s="202"/>
    </row>
    <row r="44" spans="4:4" x14ac:dyDescent="0.25">
      <c r="D44" s="202"/>
    </row>
  </sheetData>
  <mergeCells count="2">
    <mergeCell ref="B5:G5"/>
    <mergeCell ref="J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7096-F642-4FB4-B6EB-9BB4E37F1B8C}">
  <dimension ref="C3:R41"/>
  <sheetViews>
    <sheetView topLeftCell="D20" zoomScale="145" zoomScaleNormal="145" workbookViewId="0">
      <selection activeCell="F44" sqref="F44:F45"/>
    </sheetView>
  </sheetViews>
  <sheetFormatPr defaultRowHeight="12.75" x14ac:dyDescent="0.2"/>
  <cols>
    <col min="4" max="4" width="19.140625" customWidth="1"/>
    <col min="5" max="5" width="18.42578125" customWidth="1"/>
    <col min="6" max="6" width="11.85546875" bestFit="1" customWidth="1"/>
    <col min="7" max="7" width="9.85546875" bestFit="1" customWidth="1"/>
    <col min="8" max="8" width="10.42578125" bestFit="1" customWidth="1"/>
    <col min="9" max="9" width="15.140625" customWidth="1"/>
    <col min="10" max="10" width="14.85546875" bestFit="1" customWidth="1"/>
    <col min="11" max="11" width="9.7109375" bestFit="1" customWidth="1"/>
    <col min="12" max="12" width="10.140625" bestFit="1" customWidth="1"/>
    <col min="13" max="13" width="10.28515625" bestFit="1" customWidth="1"/>
    <col min="14" max="14" width="12.28515625" bestFit="1" customWidth="1"/>
    <col min="15" max="15" width="10.28515625" bestFit="1" customWidth="1"/>
    <col min="16" max="16" width="10.85546875" bestFit="1" customWidth="1"/>
    <col min="17" max="17" width="11.28515625" bestFit="1" customWidth="1"/>
    <col min="18" max="18" width="11.7109375" bestFit="1" customWidth="1"/>
  </cols>
  <sheetData>
    <row r="3" spans="3:18" ht="26.25" customHeight="1" x14ac:dyDescent="0.35">
      <c r="C3" s="239" t="s">
        <v>219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93"/>
    </row>
    <row r="4" spans="3:18" ht="26.25" customHeight="1" x14ac:dyDescent="0.2"/>
    <row r="5" spans="3:18" ht="26.25" customHeight="1" x14ac:dyDescent="0.2">
      <c r="C5" s="126"/>
      <c r="D5" s="17"/>
    </row>
    <row r="6" spans="3:18" x14ac:dyDescent="0.2">
      <c r="E6" s="17"/>
    </row>
    <row r="8" spans="3:18" ht="45.75" customHeight="1" x14ac:dyDescent="0.2">
      <c r="C8" s="262" t="s">
        <v>186</v>
      </c>
      <c r="D8" s="262"/>
      <c r="E8" s="261" t="s">
        <v>208</v>
      </c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</row>
    <row r="9" spans="3:18" ht="15" x14ac:dyDescent="0.25">
      <c r="E9" s="107" t="s">
        <v>76</v>
      </c>
      <c r="F9" s="70" t="s">
        <v>77</v>
      </c>
      <c r="G9" s="71" t="s">
        <v>78</v>
      </c>
      <c r="H9" s="71" t="s">
        <v>79</v>
      </c>
      <c r="I9" s="109" t="s">
        <v>80</v>
      </c>
      <c r="J9" s="71" t="s">
        <v>125</v>
      </c>
      <c r="K9" s="72" t="s">
        <v>82</v>
      </c>
      <c r="L9" s="72" t="s">
        <v>83</v>
      </c>
      <c r="M9" s="72" t="s">
        <v>123</v>
      </c>
      <c r="N9" s="72" t="s">
        <v>124</v>
      </c>
      <c r="O9" s="72" t="s">
        <v>85</v>
      </c>
      <c r="P9" s="72" t="s">
        <v>86</v>
      </c>
      <c r="Q9" s="108" t="s">
        <v>121</v>
      </c>
      <c r="R9" s="108" t="s">
        <v>122</v>
      </c>
    </row>
    <row r="10" spans="3:18" x14ac:dyDescent="0.2">
      <c r="E10" s="112">
        <v>708</v>
      </c>
      <c r="F10" s="112">
        <v>335</v>
      </c>
      <c r="G10" s="112">
        <v>558</v>
      </c>
      <c r="H10" s="112">
        <v>380</v>
      </c>
      <c r="I10" s="112">
        <v>67</v>
      </c>
      <c r="J10" s="112">
        <v>238</v>
      </c>
      <c r="K10" s="112">
        <v>491</v>
      </c>
      <c r="L10" s="112">
        <v>248</v>
      </c>
      <c r="M10" s="112">
        <v>366</v>
      </c>
      <c r="N10" s="112">
        <v>383</v>
      </c>
      <c r="O10" s="112">
        <v>378</v>
      </c>
      <c r="P10" s="112">
        <v>217</v>
      </c>
      <c r="Q10" s="112">
        <v>320</v>
      </c>
      <c r="R10" s="112">
        <v>308</v>
      </c>
    </row>
    <row r="11" spans="3:18" x14ac:dyDescent="0.2">
      <c r="C11" s="17" t="s">
        <v>136</v>
      </c>
      <c r="D11" s="111">
        <v>0.39400000000000002</v>
      </c>
      <c r="E11" s="3">
        <f>ROUNDUP(E$10*$D11,0)</f>
        <v>279</v>
      </c>
      <c r="F11" s="3">
        <f t="shared" ref="F11:R11" si="0">ROUNDUP(F$10*$D11,0)</f>
        <v>132</v>
      </c>
      <c r="G11" s="3">
        <f t="shared" si="0"/>
        <v>220</v>
      </c>
      <c r="H11" s="3">
        <f t="shared" si="0"/>
        <v>150</v>
      </c>
      <c r="I11" s="3">
        <f t="shared" si="0"/>
        <v>27</v>
      </c>
      <c r="J11" s="3">
        <f t="shared" si="0"/>
        <v>94</v>
      </c>
      <c r="K11" s="3">
        <f t="shared" si="0"/>
        <v>194</v>
      </c>
      <c r="L11" s="3">
        <f t="shared" si="0"/>
        <v>98</v>
      </c>
      <c r="M11" s="3">
        <f t="shared" si="0"/>
        <v>145</v>
      </c>
      <c r="N11" s="3">
        <f t="shared" si="0"/>
        <v>151</v>
      </c>
      <c r="O11" s="3">
        <f t="shared" si="0"/>
        <v>149</v>
      </c>
      <c r="P11" s="3">
        <f t="shared" si="0"/>
        <v>86</v>
      </c>
      <c r="Q11" s="3">
        <f t="shared" si="0"/>
        <v>127</v>
      </c>
      <c r="R11" s="3">
        <f t="shared" si="0"/>
        <v>122</v>
      </c>
    </row>
    <row r="12" spans="3:18" x14ac:dyDescent="0.2">
      <c r="C12" s="17" t="s">
        <v>137</v>
      </c>
      <c r="D12" s="111">
        <v>0.08</v>
      </c>
      <c r="E12" s="3">
        <f t="shared" ref="E12:R17" si="1">ROUNDUP(E$10*$D12,0)</f>
        <v>57</v>
      </c>
      <c r="F12" s="3">
        <f t="shared" si="1"/>
        <v>27</v>
      </c>
      <c r="G12" s="3">
        <f t="shared" si="1"/>
        <v>45</v>
      </c>
      <c r="H12" s="3">
        <f t="shared" si="1"/>
        <v>31</v>
      </c>
      <c r="I12" s="3">
        <f t="shared" si="1"/>
        <v>6</v>
      </c>
      <c r="J12" s="3">
        <f t="shared" si="1"/>
        <v>20</v>
      </c>
      <c r="K12" s="3">
        <f t="shared" si="1"/>
        <v>40</v>
      </c>
      <c r="L12" s="3">
        <f t="shared" si="1"/>
        <v>20</v>
      </c>
      <c r="M12" s="3">
        <f t="shared" si="1"/>
        <v>30</v>
      </c>
      <c r="N12" s="3">
        <f t="shared" si="1"/>
        <v>31</v>
      </c>
      <c r="O12" s="3">
        <f t="shared" si="1"/>
        <v>31</v>
      </c>
      <c r="P12" s="3">
        <f t="shared" si="1"/>
        <v>18</v>
      </c>
      <c r="Q12" s="3">
        <f t="shared" si="1"/>
        <v>26</v>
      </c>
      <c r="R12" s="3">
        <f t="shared" si="1"/>
        <v>25</v>
      </c>
    </row>
    <row r="13" spans="3:18" x14ac:dyDescent="0.2">
      <c r="C13" s="17" t="s">
        <v>138</v>
      </c>
      <c r="D13" s="111">
        <v>0.14099999999999999</v>
      </c>
      <c r="E13" s="3">
        <f t="shared" si="1"/>
        <v>100</v>
      </c>
      <c r="F13" s="3">
        <f t="shared" si="1"/>
        <v>48</v>
      </c>
      <c r="G13" s="3">
        <f t="shared" si="1"/>
        <v>79</v>
      </c>
      <c r="H13" s="3">
        <f t="shared" si="1"/>
        <v>54</v>
      </c>
      <c r="I13" s="3">
        <f t="shared" si="1"/>
        <v>10</v>
      </c>
      <c r="J13" s="3">
        <f t="shared" si="1"/>
        <v>34</v>
      </c>
      <c r="K13" s="3">
        <f t="shared" si="1"/>
        <v>70</v>
      </c>
      <c r="L13" s="3">
        <f t="shared" si="1"/>
        <v>35</v>
      </c>
      <c r="M13" s="3">
        <f t="shared" si="1"/>
        <v>52</v>
      </c>
      <c r="N13" s="3">
        <f t="shared" si="1"/>
        <v>55</v>
      </c>
      <c r="O13" s="3">
        <f t="shared" si="1"/>
        <v>54</v>
      </c>
      <c r="P13" s="3">
        <f t="shared" si="1"/>
        <v>31</v>
      </c>
      <c r="Q13" s="3">
        <f t="shared" si="1"/>
        <v>46</v>
      </c>
      <c r="R13" s="3">
        <f t="shared" si="1"/>
        <v>44</v>
      </c>
    </row>
    <row r="14" spans="3:18" x14ac:dyDescent="0.2">
      <c r="C14" s="17" t="s">
        <v>139</v>
      </c>
      <c r="D14" s="111">
        <v>6.8000000000000005E-2</v>
      </c>
      <c r="E14" s="3">
        <f t="shared" si="1"/>
        <v>49</v>
      </c>
      <c r="F14" s="3">
        <f t="shared" si="1"/>
        <v>23</v>
      </c>
      <c r="G14" s="3">
        <f t="shared" si="1"/>
        <v>38</v>
      </c>
      <c r="H14" s="3">
        <f t="shared" si="1"/>
        <v>26</v>
      </c>
      <c r="I14" s="3">
        <f t="shared" si="1"/>
        <v>5</v>
      </c>
      <c r="J14" s="3">
        <f t="shared" si="1"/>
        <v>17</v>
      </c>
      <c r="K14" s="3">
        <f t="shared" si="1"/>
        <v>34</v>
      </c>
      <c r="L14" s="3">
        <f t="shared" si="1"/>
        <v>17</v>
      </c>
      <c r="M14" s="3">
        <f t="shared" si="1"/>
        <v>25</v>
      </c>
      <c r="N14" s="3">
        <f t="shared" si="1"/>
        <v>27</v>
      </c>
      <c r="O14" s="3">
        <f t="shared" si="1"/>
        <v>26</v>
      </c>
      <c r="P14" s="3">
        <f t="shared" si="1"/>
        <v>15</v>
      </c>
      <c r="Q14" s="3">
        <f t="shared" si="1"/>
        <v>22</v>
      </c>
      <c r="R14" s="3">
        <f t="shared" si="1"/>
        <v>21</v>
      </c>
    </row>
    <row r="15" spans="3:18" x14ac:dyDescent="0.2">
      <c r="C15" s="17" t="s">
        <v>140</v>
      </c>
      <c r="D15" s="111">
        <v>9.8000000000000004E-2</v>
      </c>
      <c r="E15" s="3">
        <f t="shared" si="1"/>
        <v>70</v>
      </c>
      <c r="F15" s="3">
        <f t="shared" si="1"/>
        <v>33</v>
      </c>
      <c r="G15" s="3">
        <f t="shared" si="1"/>
        <v>55</v>
      </c>
      <c r="H15" s="3">
        <f t="shared" si="1"/>
        <v>38</v>
      </c>
      <c r="I15" s="3">
        <f t="shared" si="1"/>
        <v>7</v>
      </c>
      <c r="J15" s="3">
        <f t="shared" si="1"/>
        <v>24</v>
      </c>
      <c r="K15" s="3">
        <f t="shared" si="1"/>
        <v>49</v>
      </c>
      <c r="L15" s="3">
        <f t="shared" si="1"/>
        <v>25</v>
      </c>
      <c r="M15" s="3">
        <f t="shared" si="1"/>
        <v>36</v>
      </c>
      <c r="N15" s="3">
        <f t="shared" si="1"/>
        <v>38</v>
      </c>
      <c r="O15" s="3">
        <f t="shared" si="1"/>
        <v>38</v>
      </c>
      <c r="P15" s="3">
        <f t="shared" si="1"/>
        <v>22</v>
      </c>
      <c r="Q15" s="3">
        <f t="shared" si="1"/>
        <v>32</v>
      </c>
      <c r="R15" s="3">
        <f t="shared" si="1"/>
        <v>31</v>
      </c>
    </row>
    <row r="16" spans="3:18" x14ac:dyDescent="0.2">
      <c r="C16" s="17" t="s">
        <v>141</v>
      </c>
      <c r="D16" s="111">
        <v>0.14699999999999999</v>
      </c>
      <c r="E16" s="3">
        <f t="shared" si="1"/>
        <v>105</v>
      </c>
      <c r="F16" s="3">
        <f t="shared" si="1"/>
        <v>50</v>
      </c>
      <c r="G16" s="3">
        <f t="shared" si="1"/>
        <v>83</v>
      </c>
      <c r="H16" s="3">
        <f t="shared" si="1"/>
        <v>56</v>
      </c>
      <c r="I16" s="3">
        <f t="shared" si="1"/>
        <v>10</v>
      </c>
      <c r="J16" s="3">
        <f t="shared" si="1"/>
        <v>35</v>
      </c>
      <c r="K16" s="3">
        <f t="shared" si="1"/>
        <v>73</v>
      </c>
      <c r="L16" s="3">
        <f t="shared" si="1"/>
        <v>37</v>
      </c>
      <c r="M16" s="3">
        <f t="shared" si="1"/>
        <v>54</v>
      </c>
      <c r="N16" s="3">
        <f t="shared" si="1"/>
        <v>57</v>
      </c>
      <c r="O16" s="3">
        <f t="shared" si="1"/>
        <v>56</v>
      </c>
      <c r="P16" s="3">
        <f t="shared" si="1"/>
        <v>32</v>
      </c>
      <c r="Q16" s="3">
        <f t="shared" si="1"/>
        <v>48</v>
      </c>
      <c r="R16" s="3">
        <f t="shared" si="1"/>
        <v>46</v>
      </c>
    </row>
    <row r="17" spans="3:18" x14ac:dyDescent="0.2">
      <c r="C17" s="17" t="s">
        <v>142</v>
      </c>
      <c r="D17" s="111">
        <v>7.1999999999999995E-2</v>
      </c>
      <c r="E17" s="3">
        <f t="shared" si="1"/>
        <v>51</v>
      </c>
      <c r="F17" s="3">
        <f t="shared" si="1"/>
        <v>25</v>
      </c>
      <c r="G17" s="3">
        <f t="shared" si="1"/>
        <v>41</v>
      </c>
      <c r="H17" s="3">
        <f t="shared" si="1"/>
        <v>28</v>
      </c>
      <c r="I17" s="3">
        <f t="shared" si="1"/>
        <v>5</v>
      </c>
      <c r="J17" s="3">
        <f t="shared" si="1"/>
        <v>18</v>
      </c>
      <c r="K17" s="3">
        <f t="shared" si="1"/>
        <v>36</v>
      </c>
      <c r="L17" s="3">
        <f t="shared" si="1"/>
        <v>18</v>
      </c>
      <c r="M17" s="3">
        <f t="shared" si="1"/>
        <v>27</v>
      </c>
      <c r="N17" s="3">
        <f t="shared" si="1"/>
        <v>28</v>
      </c>
      <c r="O17" s="3">
        <f t="shared" si="1"/>
        <v>28</v>
      </c>
      <c r="P17" s="3">
        <f t="shared" si="1"/>
        <v>16</v>
      </c>
      <c r="Q17" s="3">
        <f t="shared" si="1"/>
        <v>24</v>
      </c>
      <c r="R17" s="3">
        <f t="shared" si="1"/>
        <v>23</v>
      </c>
    </row>
    <row r="22" spans="3:18" ht="13.5" thickBot="1" x14ac:dyDescent="0.25"/>
    <row r="23" spans="3:18" ht="20.25" x14ac:dyDescent="0.3">
      <c r="D23" s="263" t="s">
        <v>196</v>
      </c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5"/>
    </row>
    <row r="24" spans="3:18" ht="15" x14ac:dyDescent="0.25">
      <c r="D24" s="94"/>
      <c r="E24" s="129" t="s">
        <v>76</v>
      </c>
      <c r="F24" s="96" t="s">
        <v>77</v>
      </c>
      <c r="G24" s="97" t="s">
        <v>78</v>
      </c>
      <c r="H24" s="97" t="s">
        <v>79</v>
      </c>
      <c r="I24" s="130" t="s">
        <v>193</v>
      </c>
      <c r="J24" s="97" t="s">
        <v>125</v>
      </c>
      <c r="K24" s="98" t="s">
        <v>82</v>
      </c>
      <c r="L24" s="98" t="s">
        <v>83</v>
      </c>
      <c r="M24" s="98" t="s">
        <v>123</v>
      </c>
      <c r="N24" s="98" t="s">
        <v>124</v>
      </c>
      <c r="O24" s="98" t="s">
        <v>85</v>
      </c>
      <c r="P24" s="98" t="s">
        <v>86</v>
      </c>
      <c r="Q24" s="128" t="s">
        <v>121</v>
      </c>
      <c r="R24" s="131" t="s">
        <v>122</v>
      </c>
    </row>
    <row r="25" spans="3:18" x14ac:dyDescent="0.2">
      <c r="D25" s="132" t="s">
        <v>18</v>
      </c>
      <c r="E25" s="112">
        <f>ROUND('Service Pop and FTE est'!E10/AVERAGE('Rate Assumption '!$C$28:$C$34),1)*$E$37</f>
        <v>28.799999999999997</v>
      </c>
      <c r="F25" s="112">
        <f>ROUND('Service Pop and FTE est'!F10/AVERAGE('Rate Assumption '!$C$28:$C$34),1)*$E$37</f>
        <v>13.649999999999999</v>
      </c>
      <c r="G25" s="112">
        <f>ROUND('Service Pop and FTE est'!G10/AVERAGE('Rate Assumption '!$C$28:$C$34),1)*$E$37</f>
        <v>22.725000000000001</v>
      </c>
      <c r="H25" s="112">
        <f>ROUND('Service Pop and FTE est'!H10/AVERAGE('Rate Assumption '!$C$28:$C$34),1)*$E$37</f>
        <v>15.450000000000001</v>
      </c>
      <c r="I25" s="112">
        <f>ROUND('Service Pop and FTE est'!I10/AVERAGE('Rate Assumption '!$C$28:$C$34),1)*$E$37</f>
        <v>2.7</v>
      </c>
      <c r="J25" s="112">
        <f>ROUND('Service Pop and FTE est'!J10/AVERAGE('Rate Assumption '!$C$28:$C$34),1)*$E$37</f>
        <v>9.6750000000000007</v>
      </c>
      <c r="K25" s="112">
        <f>ROUND('Service Pop and FTE est'!K10/AVERAGE('Rate Assumption '!$C$28:$C$34),1)*$E$37</f>
        <v>19.950000000000003</v>
      </c>
      <c r="L25" s="112">
        <f>ROUND('Service Pop and FTE est'!L10/AVERAGE('Rate Assumption '!$C$28:$C$34),1)*$E$37</f>
        <v>10.125</v>
      </c>
      <c r="M25" s="112">
        <f>ROUND('Service Pop and FTE est'!M10/AVERAGE('Rate Assumption '!$C$28:$C$34),1)*$E$37</f>
        <v>14.924999999999999</v>
      </c>
      <c r="N25" s="112">
        <f>ROUND('Service Pop and FTE est'!N10/AVERAGE('Rate Assumption '!$C$28:$C$34),1)*$E$37</f>
        <v>15.600000000000001</v>
      </c>
      <c r="O25" s="112">
        <f>ROUND('Service Pop and FTE est'!O10/AVERAGE('Rate Assumption '!$C$28:$C$34),1)*$E$37</f>
        <v>15.375</v>
      </c>
      <c r="P25" s="112">
        <f>ROUND('Service Pop and FTE est'!P10/AVERAGE('Rate Assumption '!$C$28:$C$34),1)*$E$37</f>
        <v>8.8500000000000014</v>
      </c>
      <c r="Q25" s="112">
        <f>ROUND('Service Pop and FTE est'!Q10/AVERAGE('Rate Assumption '!$C$28:$C$34),1)*$E$37</f>
        <v>13.049999999999999</v>
      </c>
      <c r="R25" s="164">
        <f>ROUND('Service Pop and FTE est'!R10/AVERAGE('Rate Assumption '!$C$28:$C$34),1)*$E$37</f>
        <v>12.524999999999999</v>
      </c>
    </row>
    <row r="26" spans="3:18" x14ac:dyDescent="0.2">
      <c r="D26" s="132" t="s">
        <v>15</v>
      </c>
      <c r="E26" s="112" cm="1">
        <f t="array" ref="E26">ROUND((AVERAGE(('Fee Table'!$D$64:$D$68)*1.5)*'Service Pop and FTE est'!E$10*'Service Pop and FTE est'!$E$38)/(2080/12),1)</f>
        <v>26.8</v>
      </c>
      <c r="F26" s="112" cm="1">
        <f t="array" ref="F26">ROUND((AVERAGE(('Fee Table'!$D$64:$D$68)*1.5)*'Service Pop and FTE est'!F$10*'Service Pop and FTE est'!$E$38)/(2080/12),1)</f>
        <v>12.7</v>
      </c>
      <c r="G26" s="112" cm="1">
        <f t="array" ref="G26">ROUND((AVERAGE(('Fee Table'!$D$64:$D$68)*1.5)*'Service Pop and FTE est'!G$10*'Service Pop and FTE est'!$E$38)/(2080/12),1)</f>
        <v>21.2</v>
      </c>
      <c r="H26" s="112" cm="1">
        <f t="array" ref="H26">ROUND((AVERAGE(('Fee Table'!$D$64:$D$68)*1.5)*'Service Pop and FTE est'!H$10*'Service Pop and FTE est'!$E$38)/(2080/12),1)</f>
        <v>14.4</v>
      </c>
      <c r="I26" s="112" cm="1">
        <f t="array" ref="I26">ROUND((AVERAGE(('Fee Table'!$D$64:$D$68)*1.5)*'Service Pop and FTE est'!I$10*'Service Pop and FTE est'!$E$38)/(2080/12),1)</f>
        <v>2.5</v>
      </c>
      <c r="J26" s="112" cm="1">
        <f t="array" ref="J26">ROUND((AVERAGE(('Fee Table'!$D$64:$D$68)*1.5)*'Service Pop and FTE est'!J$10*'Service Pop and FTE est'!$E$38)/(2080/12),1)</f>
        <v>9</v>
      </c>
      <c r="K26" s="112" cm="1">
        <f t="array" ref="K26">ROUND((AVERAGE(('Fee Table'!$D$64:$D$68)*1.5)*'Service Pop and FTE est'!K$10*'Service Pop and FTE est'!$E$38)/(2080/12),1)</f>
        <v>18.600000000000001</v>
      </c>
      <c r="L26" s="112" cm="1">
        <f t="array" ref="L26">ROUND((AVERAGE(('Fee Table'!$D$64:$D$68)*1.5)*'Service Pop and FTE est'!L$10*'Service Pop and FTE est'!$E$38)/(2080/12),1)</f>
        <v>9.4</v>
      </c>
      <c r="M26" s="112" cm="1">
        <f t="array" ref="M26">ROUND((AVERAGE(('Fee Table'!$D$64:$D$68)*1.5)*'Service Pop and FTE est'!M$10*'Service Pop and FTE est'!$E$38)/(2080/12),1)</f>
        <v>13.9</v>
      </c>
      <c r="N26" s="112" cm="1">
        <f t="array" ref="N26">ROUND((AVERAGE(('Fee Table'!$D$64:$D$68)*1.5)*'Service Pop and FTE est'!N$10*'Service Pop and FTE est'!$E$38)/(2080/12),1)</f>
        <v>14.5</v>
      </c>
      <c r="O26" s="112" cm="1">
        <f t="array" ref="O26">ROUND((AVERAGE(('Fee Table'!$D$64:$D$68)*1.5)*'Service Pop and FTE est'!O$10*'Service Pop and FTE est'!$E$38)/(2080/12),1)</f>
        <v>14.3</v>
      </c>
      <c r="P26" s="112" cm="1">
        <f t="array" ref="P26">ROUND((AVERAGE(('Fee Table'!$D$64:$D$68)*1.5)*'Service Pop and FTE est'!P$10*'Service Pop and FTE est'!$E$38)/(2080/12),1)</f>
        <v>8.1999999999999993</v>
      </c>
      <c r="Q26" s="112" cm="1">
        <f t="array" ref="Q26">ROUND((AVERAGE(('Fee Table'!$D$64:$D$68)*1.5)*'Service Pop and FTE est'!Q$10*'Service Pop and FTE est'!$E$38)/(2080/12),1)</f>
        <v>12.1</v>
      </c>
      <c r="R26" s="164" cm="1">
        <f t="array" ref="R26">ROUND((AVERAGE(('Fee Table'!$D$64:$D$68)*1.5)*'Service Pop and FTE est'!R$10*'Service Pop and FTE est'!$E$38)/(2080/12),1)</f>
        <v>11.7</v>
      </c>
    </row>
    <row r="27" spans="3:18" ht="7.5" customHeight="1" x14ac:dyDescent="0.2">
      <c r="D27" s="13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64"/>
    </row>
    <row r="28" spans="3:18" x14ac:dyDescent="0.2">
      <c r="D28" s="99" t="s">
        <v>194</v>
      </c>
      <c r="E28" s="3">
        <f>ROUND(SUM(E25:E26)/'Rate Assumption '!C43,1)</f>
        <v>9.3000000000000007</v>
      </c>
      <c r="F28" s="3">
        <f>ROUND(SUM(F25:F26)/6,1)</f>
        <v>4.4000000000000004</v>
      </c>
      <c r="G28" s="3">
        <f>ROUND(SUM(G25:G26)/6,1)</f>
        <v>7.3</v>
      </c>
      <c r="H28" s="3">
        <f>ROUND(SUM(H25:H26)/6,1)</f>
        <v>5</v>
      </c>
      <c r="I28" s="3">
        <v>1</v>
      </c>
      <c r="J28" s="3">
        <f t="shared" ref="J28:R28" si="2">ROUND(SUM(J25:J26)/6,1)</f>
        <v>3.1</v>
      </c>
      <c r="K28" s="3">
        <f t="shared" si="2"/>
        <v>6.4</v>
      </c>
      <c r="L28" s="3">
        <f t="shared" si="2"/>
        <v>3.3</v>
      </c>
      <c r="M28" s="3">
        <f t="shared" si="2"/>
        <v>4.8</v>
      </c>
      <c r="N28" s="3">
        <f t="shared" si="2"/>
        <v>5</v>
      </c>
      <c r="O28" s="3">
        <f t="shared" si="2"/>
        <v>4.9000000000000004</v>
      </c>
      <c r="P28" s="3">
        <f t="shared" si="2"/>
        <v>2.8</v>
      </c>
      <c r="Q28" s="3">
        <f t="shared" si="2"/>
        <v>4.2</v>
      </c>
      <c r="R28" s="133">
        <f t="shared" si="2"/>
        <v>4</v>
      </c>
    </row>
    <row r="29" spans="3:18" x14ac:dyDescent="0.2">
      <c r="D29" s="94" t="s">
        <v>37</v>
      </c>
      <c r="E29" s="3">
        <f>ROUND(SUM(E28)/'Rate Assumption '!$C$44,1)</f>
        <v>1.6</v>
      </c>
      <c r="F29" s="3">
        <f>ROUND(SUM(F28)/'Rate Assumption '!$C$44,1)</f>
        <v>0.7</v>
      </c>
      <c r="G29" s="3">
        <f>ROUND(SUM(G28)/'Rate Assumption '!$C$44,1)</f>
        <v>1.2</v>
      </c>
      <c r="H29" s="3">
        <f>ROUND(SUM(H28)/'Rate Assumption '!$C$44,1)</f>
        <v>0.8</v>
      </c>
      <c r="I29" s="3">
        <v>0.5</v>
      </c>
      <c r="J29" s="3">
        <f>ROUND(SUM(J28)/'Rate Assumption '!$C$44,1)</f>
        <v>0.5</v>
      </c>
      <c r="K29" s="3">
        <f>ROUND(SUM(K28)/'Rate Assumption '!$C$44,1)</f>
        <v>1.1000000000000001</v>
      </c>
      <c r="L29" s="3">
        <f>ROUND(SUM(L28)/'Rate Assumption '!$C$44,1)</f>
        <v>0.6</v>
      </c>
      <c r="M29" s="3">
        <f>ROUND(SUM(M28)/'Rate Assumption '!$C$44,1)</f>
        <v>0.8</v>
      </c>
      <c r="N29" s="3">
        <f>ROUND(SUM(N28)/'Rate Assumption '!$C$44,1)</f>
        <v>0.8</v>
      </c>
      <c r="O29" s="3">
        <f>ROUND(SUM(O28)/'Rate Assumption '!$C$44,1)</f>
        <v>0.8</v>
      </c>
      <c r="P29" s="3">
        <f>ROUND(SUM(P28)/'Rate Assumption '!$C$44,1)</f>
        <v>0.5</v>
      </c>
      <c r="Q29" s="3">
        <f>ROUND(SUM(Q28)/'Rate Assumption '!$C$44,1)</f>
        <v>0.7</v>
      </c>
      <c r="R29" s="133">
        <f>ROUND(SUM(R28)/'Rate Assumption '!$C$44,1)</f>
        <v>0.7</v>
      </c>
    </row>
    <row r="30" spans="3:18" x14ac:dyDescent="0.2">
      <c r="D30" s="94" t="s">
        <v>39</v>
      </c>
      <c r="E30" s="3">
        <f>ROUND(E25*'Rate Assumption '!$C$45,1)</f>
        <v>1.4</v>
      </c>
      <c r="F30" s="3">
        <f>ROUND(F25*'Rate Assumption '!$C$45,1)</f>
        <v>0.7</v>
      </c>
      <c r="G30" s="3">
        <f>ROUND(G25*'Rate Assumption '!$C$45,1)</f>
        <v>1.1000000000000001</v>
      </c>
      <c r="H30" s="3">
        <f>ROUND(H25*'Rate Assumption '!$C$45,1)</f>
        <v>0.8</v>
      </c>
      <c r="I30" s="3">
        <v>0.5</v>
      </c>
      <c r="J30" s="3">
        <f>ROUND(J25*'Rate Assumption '!$C$45,1)</f>
        <v>0.5</v>
      </c>
      <c r="K30" s="3">
        <f>ROUND(K25*'Rate Assumption '!$C$45,1)</f>
        <v>1</v>
      </c>
      <c r="L30" s="3">
        <f>ROUND(L25*'Rate Assumption '!$C$45,1)</f>
        <v>0.5</v>
      </c>
      <c r="M30" s="3">
        <f>ROUND(M25*'Rate Assumption '!$C$45,1)</f>
        <v>0.7</v>
      </c>
      <c r="N30" s="3">
        <f>ROUND(N25*'Rate Assumption '!$C$45,1)</f>
        <v>0.8</v>
      </c>
      <c r="O30" s="3">
        <f>ROUND(O25*'Rate Assumption '!$C$45,1)</f>
        <v>0.8</v>
      </c>
      <c r="P30" s="3">
        <f>ROUND(P25*'Rate Assumption '!$C$45,1)</f>
        <v>0.4</v>
      </c>
      <c r="Q30" s="3">
        <f>ROUND(Q25*'Rate Assumption '!$C$45,1)</f>
        <v>0.7</v>
      </c>
      <c r="R30" s="133">
        <f>ROUND(R25*'Rate Assumption '!$C$45,1)</f>
        <v>0.6</v>
      </c>
    </row>
    <row r="31" spans="3:18" x14ac:dyDescent="0.2">
      <c r="D31" s="94" t="s">
        <v>41</v>
      </c>
      <c r="E31" s="3">
        <f>ROUND(E25*'Rate Assumption '!$C$46,1)</f>
        <v>1.4</v>
      </c>
      <c r="F31" s="3">
        <f>ROUND(F25*'Rate Assumption '!$C$46,1)</f>
        <v>0.7</v>
      </c>
      <c r="G31" s="3">
        <f>ROUND(G25*'Rate Assumption '!$C$46,1)</f>
        <v>1.1000000000000001</v>
      </c>
      <c r="H31" s="3">
        <f>ROUND(H25*'Rate Assumption '!$C$46,1)</f>
        <v>0.8</v>
      </c>
      <c r="I31" s="3">
        <v>0.25</v>
      </c>
      <c r="J31" s="3">
        <f>ROUND(J25*'Rate Assumption '!$C$46,1)</f>
        <v>0.5</v>
      </c>
      <c r="K31" s="3">
        <f>ROUND(K25*'Rate Assumption '!$C$46,1)</f>
        <v>1</v>
      </c>
      <c r="L31" s="3">
        <f>ROUND(L25*'Rate Assumption '!$C$46,1)</f>
        <v>0.5</v>
      </c>
      <c r="M31" s="3">
        <f>ROUND(M25*'Rate Assumption '!$C$46,1)</f>
        <v>0.7</v>
      </c>
      <c r="N31" s="3">
        <f>ROUND(N25*'Rate Assumption '!$C$46,1)</f>
        <v>0.8</v>
      </c>
      <c r="O31" s="3">
        <f>ROUND(O25*'Rate Assumption '!$C$46,1)</f>
        <v>0.8</v>
      </c>
      <c r="P31" s="3">
        <f>ROUND(P25*'Rate Assumption '!$C$46,1)</f>
        <v>0.4</v>
      </c>
      <c r="Q31" s="3">
        <f>ROUND(Q25*'Rate Assumption '!$C$46,1)</f>
        <v>0.7</v>
      </c>
      <c r="R31" s="133">
        <f>ROUND(R25*'Rate Assumption '!$C$46,1)</f>
        <v>0.6</v>
      </c>
    </row>
    <row r="32" spans="3:18" x14ac:dyDescent="0.2">
      <c r="D32" s="94" t="s">
        <v>43</v>
      </c>
      <c r="E32" s="3">
        <f>ROUND(E29/'Rate Assumption '!$C$47,1)</f>
        <v>0.6</v>
      </c>
      <c r="F32" s="3">
        <f>ROUND(F29/'Rate Assumption '!$C$47,1)</f>
        <v>0.3</v>
      </c>
      <c r="G32" s="3">
        <f>ROUND(G29/'Rate Assumption '!$C$47,1)</f>
        <v>0.5</v>
      </c>
      <c r="H32" s="3">
        <f>ROUND(H29/'Rate Assumption '!$C$47,1)</f>
        <v>0.3</v>
      </c>
      <c r="I32" s="3">
        <f>ROUND(I29/'Rate Assumption '!$C$47,1)</f>
        <v>0.2</v>
      </c>
      <c r="J32" s="3">
        <f>ROUND(J29/'Rate Assumption '!$C$47,1)</f>
        <v>0.2</v>
      </c>
      <c r="K32" s="3">
        <f>ROUND(K29/'Rate Assumption '!$C$47,1)</f>
        <v>0.4</v>
      </c>
      <c r="L32" s="3">
        <f>ROUND(L29/'Rate Assumption '!$C$47,1)</f>
        <v>0.2</v>
      </c>
      <c r="M32" s="3">
        <f>ROUND(M29/'Rate Assumption '!$C$47,1)</f>
        <v>0.3</v>
      </c>
      <c r="N32" s="3">
        <f>ROUND(N29/'Rate Assumption '!$C$47,1)</f>
        <v>0.3</v>
      </c>
      <c r="O32" s="3">
        <f>ROUND(O29/'Rate Assumption '!$C$47,1)</f>
        <v>0.3</v>
      </c>
      <c r="P32" s="3">
        <f>ROUND(P29/'Rate Assumption '!$C$47,1)</f>
        <v>0.2</v>
      </c>
      <c r="Q32" s="3">
        <f>ROUND(Q29/'Rate Assumption '!$C$47,1)</f>
        <v>0.3</v>
      </c>
      <c r="R32" s="133">
        <f>ROUND(R29/'Rate Assumption '!$C$47,1)</f>
        <v>0.3</v>
      </c>
    </row>
    <row r="33" spans="4:18" x14ac:dyDescent="0.2">
      <c r="D33" s="94" t="s">
        <v>45</v>
      </c>
      <c r="E33" s="3">
        <f>ROUND(E25/'Rate Assumption '!$C$48,1)</f>
        <v>2.9</v>
      </c>
      <c r="F33" s="3">
        <f>ROUND(F25/'Rate Assumption '!$C$48,1)</f>
        <v>1.4</v>
      </c>
      <c r="G33" s="3">
        <f>ROUND(G25/'Rate Assumption '!$C$48,1)</f>
        <v>2.2999999999999998</v>
      </c>
      <c r="H33" s="3">
        <f>ROUND(H25/'Rate Assumption '!$C$48,1)</f>
        <v>1.5</v>
      </c>
      <c r="I33" s="3">
        <f>ROUND(I25/'Rate Assumption '!$C$48,1)</f>
        <v>0.3</v>
      </c>
      <c r="J33" s="3">
        <f>ROUND(J25/'Rate Assumption '!$C$48,1)</f>
        <v>1</v>
      </c>
      <c r="K33" s="3">
        <f>ROUND(K25/'Rate Assumption '!$C$48,1)</f>
        <v>2</v>
      </c>
      <c r="L33" s="3">
        <f>ROUND(L25/'Rate Assumption '!$C$48,1)</f>
        <v>1</v>
      </c>
      <c r="M33" s="3">
        <f>ROUND(M25/'Rate Assumption '!$C$48,1)</f>
        <v>1.5</v>
      </c>
      <c r="N33" s="3">
        <f>ROUND(N25/'Rate Assumption '!$C$48,1)</f>
        <v>1.6</v>
      </c>
      <c r="O33" s="3">
        <f>ROUND(O25/'Rate Assumption '!$C$48,1)</f>
        <v>1.5</v>
      </c>
      <c r="P33" s="3">
        <f>ROUND(P25/'Rate Assumption '!$C$48,1)</f>
        <v>0.9</v>
      </c>
      <c r="Q33" s="3">
        <f>ROUND(Q25/'Rate Assumption '!$C$48,1)</f>
        <v>1.3</v>
      </c>
      <c r="R33" s="133">
        <f>ROUND(R25/'Rate Assumption '!$C$48,1)</f>
        <v>1.3</v>
      </c>
    </row>
    <row r="34" spans="4:18" x14ac:dyDescent="0.2">
      <c r="D34" s="94"/>
      <c r="R34" s="95"/>
    </row>
    <row r="35" spans="4:18" x14ac:dyDescent="0.2">
      <c r="D35" s="94"/>
      <c r="R35" s="95"/>
    </row>
    <row r="36" spans="4:18" x14ac:dyDescent="0.2">
      <c r="D36" s="99" t="s">
        <v>190</v>
      </c>
      <c r="R36" s="95"/>
    </row>
    <row r="37" spans="4:18" x14ac:dyDescent="0.2">
      <c r="D37" s="99" t="s">
        <v>191</v>
      </c>
      <c r="E37" s="126">
        <v>0.75</v>
      </c>
      <c r="R37" s="95"/>
    </row>
    <row r="38" spans="4:18" x14ac:dyDescent="0.2">
      <c r="D38" s="99" t="s">
        <v>192</v>
      </c>
      <c r="E38" s="126">
        <v>0.3</v>
      </c>
      <c r="R38" s="95"/>
    </row>
    <row r="39" spans="4:18" x14ac:dyDescent="0.2">
      <c r="D39" s="99"/>
      <c r="E39" s="126"/>
      <c r="R39" s="95"/>
    </row>
    <row r="40" spans="4:18" x14ac:dyDescent="0.2">
      <c r="D40" s="99" t="s">
        <v>209</v>
      </c>
      <c r="E40" s="126"/>
      <c r="R40" s="95"/>
    </row>
    <row r="41" spans="4:18" ht="13.5" thickBot="1" x14ac:dyDescent="0.25">
      <c r="D41" s="102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5"/>
    </row>
  </sheetData>
  <mergeCells count="4">
    <mergeCell ref="E8:R8"/>
    <mergeCell ref="C8:D8"/>
    <mergeCell ref="C3:Q3"/>
    <mergeCell ref="D23:R23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B270-F54A-4DD4-ACA2-986CE8073F62}">
  <dimension ref="A1:R72"/>
  <sheetViews>
    <sheetView tabSelected="1" topLeftCell="C11" zoomScale="115" zoomScaleNormal="115" workbookViewId="0">
      <selection activeCell="J14" sqref="J14"/>
    </sheetView>
  </sheetViews>
  <sheetFormatPr defaultRowHeight="12.75" x14ac:dyDescent="0.2"/>
  <cols>
    <col min="1" max="1" width="18.140625" customWidth="1"/>
    <col min="4" max="4" width="33.28515625" customWidth="1"/>
    <col min="5" max="5" width="13.42578125" customWidth="1"/>
    <col min="6" max="6" width="11.7109375" customWidth="1"/>
    <col min="7" max="7" width="13" customWidth="1"/>
    <col min="8" max="8" width="13.28515625" customWidth="1"/>
    <col min="9" max="9" width="29.140625" customWidth="1"/>
    <col min="10" max="10" width="15.5703125" customWidth="1"/>
    <col min="11" max="11" width="17.7109375" customWidth="1"/>
    <col min="12" max="14" width="12" bestFit="1" customWidth="1"/>
    <col min="15" max="15" width="12.140625" customWidth="1"/>
    <col min="16" max="16" width="11.85546875" customWidth="1"/>
    <col min="17" max="17" width="13" customWidth="1"/>
    <col min="18" max="18" width="15" customWidth="1"/>
  </cols>
  <sheetData>
    <row r="1" spans="1:12" x14ac:dyDescent="0.2">
      <c r="A1" s="43" t="s">
        <v>195</v>
      </c>
    </row>
    <row r="2" spans="1:12" x14ac:dyDescent="0.2">
      <c r="E2" s="43"/>
      <c r="F2" s="43"/>
      <c r="G2" s="43"/>
      <c r="H2" s="43"/>
    </row>
    <row r="6" spans="1:12" ht="13.5" thickBot="1" x14ac:dyDescent="0.25">
      <c r="L6" s="17"/>
    </row>
    <row r="7" spans="1:12" ht="29.25" customHeight="1" x14ac:dyDescent="0.2">
      <c r="D7" s="266" t="s">
        <v>210</v>
      </c>
      <c r="E7" s="267"/>
      <c r="F7" s="267"/>
      <c r="G7" s="268"/>
      <c r="H7" s="165"/>
    </row>
    <row r="8" spans="1:12" x14ac:dyDescent="0.2">
      <c r="D8" s="94"/>
      <c r="E8" t="s">
        <v>188</v>
      </c>
      <c r="F8" t="s">
        <v>187</v>
      </c>
      <c r="G8" s="95" t="s">
        <v>189</v>
      </c>
    </row>
    <row r="9" spans="1:12" x14ac:dyDescent="0.2">
      <c r="D9" s="94" t="s">
        <v>18</v>
      </c>
      <c r="E9" s="166">
        <v>0</v>
      </c>
      <c r="F9" s="166">
        <v>0</v>
      </c>
      <c r="G9" s="167">
        <f>$J$10</f>
        <v>0.25</v>
      </c>
      <c r="I9" s="43" t="s">
        <v>203</v>
      </c>
      <c r="J9" s="17"/>
    </row>
    <row r="10" spans="1:12" ht="12.75" customHeight="1" x14ac:dyDescent="0.2">
      <c r="D10" s="94" t="s">
        <v>15</v>
      </c>
      <c r="E10" s="166">
        <v>0</v>
      </c>
      <c r="F10" s="166">
        <v>0</v>
      </c>
      <c r="G10" s="167">
        <f>$J$10</f>
        <v>0.25</v>
      </c>
      <c r="I10" s="238" t="s">
        <v>221</v>
      </c>
      <c r="J10" s="126">
        <v>0.25</v>
      </c>
    </row>
    <row r="11" spans="1:12" ht="12.75" customHeight="1" x14ac:dyDescent="0.2">
      <c r="D11" s="94" t="s">
        <v>35</v>
      </c>
      <c r="E11" s="166">
        <v>0</v>
      </c>
      <c r="F11" s="166">
        <f>J10</f>
        <v>0.25</v>
      </c>
      <c r="G11" s="167">
        <f>F11*$J$11+F11</f>
        <v>0.33250000000000002</v>
      </c>
      <c r="H11" s="111"/>
      <c r="I11" s="238" t="s">
        <v>204</v>
      </c>
      <c r="J11" s="126">
        <v>0.33</v>
      </c>
    </row>
    <row r="12" spans="1:12" x14ac:dyDescent="0.2">
      <c r="D12" s="94" t="s">
        <v>37</v>
      </c>
      <c r="E12" s="166">
        <v>1</v>
      </c>
      <c r="F12" s="166">
        <v>1</v>
      </c>
      <c r="G12" s="167">
        <v>1</v>
      </c>
    </row>
    <row r="13" spans="1:12" x14ac:dyDescent="0.2">
      <c r="D13" s="94" t="s">
        <v>39</v>
      </c>
      <c r="E13" s="166">
        <v>0</v>
      </c>
      <c r="F13" s="166">
        <v>1</v>
      </c>
      <c r="G13" s="167">
        <v>1</v>
      </c>
    </row>
    <row r="14" spans="1:12" x14ac:dyDescent="0.2">
      <c r="D14" s="94" t="s">
        <v>41</v>
      </c>
      <c r="E14" s="237">
        <v>1</v>
      </c>
      <c r="F14" s="166">
        <v>1</v>
      </c>
      <c r="G14" s="167">
        <v>1</v>
      </c>
    </row>
    <row r="15" spans="1:12" x14ac:dyDescent="0.2">
      <c r="D15" s="94" t="s">
        <v>43</v>
      </c>
      <c r="E15" s="166">
        <v>1</v>
      </c>
      <c r="F15" s="166">
        <v>1</v>
      </c>
      <c r="G15" s="167">
        <v>1</v>
      </c>
    </row>
    <row r="16" spans="1:12" x14ac:dyDescent="0.2">
      <c r="D16" s="94" t="s">
        <v>45</v>
      </c>
      <c r="E16" s="166">
        <v>0</v>
      </c>
      <c r="F16" s="166">
        <v>0</v>
      </c>
      <c r="G16" s="168">
        <f>J10</f>
        <v>0.25</v>
      </c>
    </row>
    <row r="17" spans="3:18" x14ac:dyDescent="0.2">
      <c r="D17" s="99"/>
      <c r="E17" s="78"/>
      <c r="F17" s="78"/>
      <c r="G17" s="169"/>
    </row>
    <row r="18" spans="3:18" ht="13.5" thickBot="1" x14ac:dyDescent="0.25">
      <c r="D18" s="160"/>
      <c r="E18" s="136"/>
      <c r="F18" s="136"/>
      <c r="G18" s="170"/>
    </row>
    <row r="19" spans="3:18" x14ac:dyDescent="0.2">
      <c r="D19" s="17"/>
      <c r="E19" s="78"/>
      <c r="F19" s="78"/>
      <c r="G19" s="149"/>
    </row>
    <row r="20" spans="3:18" ht="15.75" x14ac:dyDescent="0.25">
      <c r="D20" s="269" t="s">
        <v>207</v>
      </c>
      <c r="E20" s="271"/>
      <c r="F20" s="271"/>
      <c r="G20" s="271"/>
      <c r="H20" s="271"/>
      <c r="I20" s="271"/>
      <c r="J20" s="271"/>
      <c r="K20" s="270"/>
      <c r="L20" s="269" t="s">
        <v>206</v>
      </c>
      <c r="M20" s="271"/>
      <c r="N20" s="271"/>
      <c r="O20" s="270"/>
      <c r="P20" s="269" t="s">
        <v>205</v>
      </c>
      <c r="Q20" s="270"/>
    </row>
    <row r="21" spans="3:18" ht="15" x14ac:dyDescent="0.25">
      <c r="D21" s="150" t="s">
        <v>82</v>
      </c>
      <c r="E21" s="96" t="s">
        <v>77</v>
      </c>
      <c r="F21" s="127" t="s">
        <v>87</v>
      </c>
      <c r="G21" s="135" t="s">
        <v>87</v>
      </c>
      <c r="H21" s="129" t="s">
        <v>76</v>
      </c>
      <c r="I21" s="98" t="s">
        <v>85</v>
      </c>
      <c r="J21" s="98" t="s">
        <v>84</v>
      </c>
      <c r="K21" s="151" t="s">
        <v>84</v>
      </c>
      <c r="L21" s="156" t="s">
        <v>78</v>
      </c>
      <c r="M21" s="97" t="s">
        <v>79</v>
      </c>
      <c r="N21" s="98" t="s">
        <v>86</v>
      </c>
      <c r="O21" s="157" t="s">
        <v>81</v>
      </c>
      <c r="P21" s="150" t="s">
        <v>83</v>
      </c>
      <c r="Q21" s="158" t="s">
        <v>80</v>
      </c>
    </row>
    <row r="22" spans="3:18" x14ac:dyDescent="0.2">
      <c r="D22" s="152">
        <f>K42</f>
        <v>21583.75104166667</v>
      </c>
      <c r="E22" s="78">
        <f>F42</f>
        <v>14191.453611111107</v>
      </c>
      <c r="F22" s="78">
        <f>Q42</f>
        <v>16635.176458333332</v>
      </c>
      <c r="G22" s="78">
        <f>R42</f>
        <v>15656.636666666665</v>
      </c>
      <c r="H22" s="78">
        <f>E42</f>
        <v>30052.489999999994</v>
      </c>
      <c r="I22" s="78">
        <f>O42</f>
        <v>16403.650791666671</v>
      </c>
      <c r="J22" s="78">
        <f>M42</f>
        <v>15540.300750000002</v>
      </c>
      <c r="K22" s="153">
        <f>N42</f>
        <v>16403.650791666671</v>
      </c>
      <c r="L22" s="152">
        <f>G42</f>
        <v>25420.066388888885</v>
      </c>
      <c r="M22" s="78">
        <f>H42</f>
        <v>17249.330763888887</v>
      </c>
      <c r="N22" s="78">
        <f>P42</f>
        <v>9496.8504583333342</v>
      </c>
      <c r="O22" s="153">
        <f>J42</f>
        <v>10894.314166666667</v>
      </c>
      <c r="P22" s="152">
        <f>L42</f>
        <v>11223.550541666667</v>
      </c>
      <c r="Q22" s="153">
        <f>I42</f>
        <v>8624.6653819444437</v>
      </c>
      <c r="R22" s="78"/>
    </row>
    <row r="23" spans="3:18" x14ac:dyDescent="0.2">
      <c r="D23" s="152">
        <f>K58</f>
        <v>42229.078125</v>
      </c>
      <c r="E23" s="78">
        <f>F58</f>
        <v>28019.954444444433</v>
      </c>
      <c r="F23" s="78">
        <f>Q58</f>
        <v>32419.448750000003</v>
      </c>
      <c r="G23" s="78">
        <f>R58</f>
        <v>30036.917083333334</v>
      </c>
      <c r="H23" s="78">
        <f>E58</f>
        <v>58616.873611111092</v>
      </c>
      <c r="I23" s="78">
        <f>O58</f>
        <v>32507.005916666662</v>
      </c>
      <c r="J23" s="78">
        <f>M58</f>
        <v>30592.621041666662</v>
      </c>
      <c r="K23" s="153">
        <f>N58</f>
        <v>32694.690708333328</v>
      </c>
      <c r="L23" s="152">
        <f>G58</f>
        <v>49813.856805555552</v>
      </c>
      <c r="M23" s="78">
        <f>H58</f>
        <v>34380.245069444441</v>
      </c>
      <c r="N23" s="78">
        <f>P58</f>
        <v>18205.424791666665</v>
      </c>
      <c r="O23" s="153">
        <f>J58</f>
        <v>21551.795416666668</v>
      </c>
      <c r="P23" s="152">
        <f>L58</f>
        <v>21733.898874999999</v>
      </c>
      <c r="Q23" s="153">
        <f>I58</f>
        <v>15137.570590277775</v>
      </c>
      <c r="R23" s="78"/>
    </row>
    <row r="24" spans="3:18" x14ac:dyDescent="0.2">
      <c r="D24" s="154">
        <f>K72</f>
        <v>88954.555300000007</v>
      </c>
      <c r="E24" s="141">
        <f>F72</f>
        <v>59111.102374999988</v>
      </c>
      <c r="F24" s="141">
        <f>Q72</f>
        <v>67014.435854166659</v>
      </c>
      <c r="G24" s="141">
        <f>R72</f>
        <v>63294.286249999997</v>
      </c>
      <c r="H24" s="141">
        <f>E72</f>
        <v>124155.45620833333</v>
      </c>
      <c r="I24" s="141">
        <f>O72</f>
        <v>68442.248685416664</v>
      </c>
      <c r="J24" s="141">
        <f>M72</f>
        <v>65561.347204166654</v>
      </c>
      <c r="K24" s="155">
        <f>N72</f>
        <v>69277.084770833331</v>
      </c>
      <c r="L24" s="154">
        <f>G72</f>
        <v>105380.00989930554</v>
      </c>
      <c r="M24" s="141">
        <f>H72</f>
        <v>72094.84975694443</v>
      </c>
      <c r="N24" s="141">
        <f>P72</f>
        <v>38926.042891666671</v>
      </c>
      <c r="O24" s="155">
        <f>J72</f>
        <v>45231.951239583337</v>
      </c>
      <c r="P24" s="154">
        <f>L72</f>
        <v>45460.100318750003</v>
      </c>
      <c r="Q24" s="155">
        <f>I72</f>
        <v>33188.061111111107</v>
      </c>
      <c r="R24" s="78"/>
    </row>
    <row r="25" spans="3:18" x14ac:dyDescent="0.2">
      <c r="D25" s="17"/>
      <c r="E25" s="78"/>
      <c r="F25" s="78"/>
      <c r="G25" s="149"/>
    </row>
    <row r="26" spans="3:18" x14ac:dyDescent="0.2">
      <c r="D26" s="17"/>
      <c r="E26" s="78"/>
      <c r="F26" s="78"/>
      <c r="G26" s="149"/>
    </row>
    <row r="27" spans="3:18" x14ac:dyDescent="0.2">
      <c r="D27" s="17"/>
      <c r="E27" s="78"/>
      <c r="F27" s="78"/>
      <c r="G27" s="149"/>
    </row>
    <row r="28" spans="3:18" x14ac:dyDescent="0.2">
      <c r="D28" s="17"/>
      <c r="E28" s="78"/>
    </row>
    <row r="29" spans="3:18" ht="13.5" thickBot="1" x14ac:dyDescent="0.25">
      <c r="D29" s="17"/>
      <c r="E29" s="78"/>
    </row>
    <row r="30" spans="3:18" x14ac:dyDescent="0.2">
      <c r="C30" s="134" t="s">
        <v>188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5"/>
    </row>
    <row r="31" spans="3:18" x14ac:dyDescent="0.2">
      <c r="C31" s="94"/>
      <c r="M31" s="66" t="s">
        <v>198</v>
      </c>
      <c r="N31" s="66" t="s">
        <v>199</v>
      </c>
      <c r="O31" s="3"/>
      <c r="P31" s="3"/>
      <c r="Q31" s="66" t="s">
        <v>198</v>
      </c>
      <c r="R31" s="171" t="s">
        <v>199</v>
      </c>
    </row>
    <row r="32" spans="3:18" ht="15" x14ac:dyDescent="0.25">
      <c r="C32" s="94"/>
      <c r="E32" s="129" t="s">
        <v>76</v>
      </c>
      <c r="F32" s="96" t="s">
        <v>77</v>
      </c>
      <c r="G32" s="97" t="s">
        <v>78</v>
      </c>
      <c r="H32" s="97" t="s">
        <v>79</v>
      </c>
      <c r="I32" s="130" t="s">
        <v>80</v>
      </c>
      <c r="J32" s="97" t="s">
        <v>81</v>
      </c>
      <c r="K32" s="98" t="s">
        <v>82</v>
      </c>
      <c r="L32" s="98" t="s">
        <v>83</v>
      </c>
      <c r="M32" s="98" t="s">
        <v>84</v>
      </c>
      <c r="N32" s="98" t="s">
        <v>84</v>
      </c>
      <c r="O32" s="98" t="s">
        <v>85</v>
      </c>
      <c r="P32" s="98" t="s">
        <v>86</v>
      </c>
      <c r="Q32" s="127" t="s">
        <v>87</v>
      </c>
      <c r="R32" s="135" t="s">
        <v>87</v>
      </c>
    </row>
    <row r="33" spans="3:18" x14ac:dyDescent="0.2">
      <c r="C33" s="94"/>
      <c r="D33" t="s">
        <v>18</v>
      </c>
      <c r="E33" s="78">
        <f>$E$9*'Service Pop and FTE est'!E25*'Per FTE cost'!C21</f>
        <v>0</v>
      </c>
      <c r="F33" s="78">
        <f>$E$9*'Service Pop and FTE est'!F25*'Per FTE cost'!D21</f>
        <v>0</v>
      </c>
      <c r="G33" s="78">
        <f>$E$9*'Service Pop and FTE est'!G25*'Per FTE cost'!E21</f>
        <v>0</v>
      </c>
      <c r="H33" s="78">
        <f>$E$9*'Service Pop and FTE est'!H25*'Per FTE cost'!F21</f>
        <v>0</v>
      </c>
      <c r="I33" s="78">
        <f>$E$9*'Service Pop and FTE est'!I25*'Per FTE cost'!G21</f>
        <v>0</v>
      </c>
      <c r="J33" s="78">
        <f>$E$9*'Service Pop and FTE est'!J25*'Per FTE cost'!H21</f>
        <v>0</v>
      </c>
      <c r="K33" s="78">
        <f>$E$9*'Service Pop and FTE est'!K25*'Per FTE cost'!I21</f>
        <v>0</v>
      </c>
      <c r="L33" s="78">
        <f>$E$9*'Service Pop and FTE est'!L25*'Per FTE cost'!J21</f>
        <v>0</v>
      </c>
      <c r="M33" s="78">
        <f>$E$9*'Service Pop and FTE est'!M25*'Per FTE cost'!K21</f>
        <v>0</v>
      </c>
      <c r="N33" s="78">
        <f>$E$9*'Service Pop and FTE est'!N25*'Per FTE cost'!L21</f>
        <v>0</v>
      </c>
      <c r="O33" s="78">
        <f>$E$9*'Service Pop and FTE est'!O25*'Per FTE cost'!M21</f>
        <v>0</v>
      </c>
      <c r="P33" s="78">
        <f>$E$9*'Service Pop and FTE est'!P25*'Per FTE cost'!N21</f>
        <v>0</v>
      </c>
      <c r="Q33" s="78">
        <f>$E$9*'Service Pop and FTE est'!Q25*'Per FTE cost'!O21</f>
        <v>0</v>
      </c>
      <c r="R33" s="100">
        <f>$E$9*'Service Pop and FTE est'!R25*'Per FTE cost'!P21</f>
        <v>0</v>
      </c>
    </row>
    <row r="34" spans="3:18" x14ac:dyDescent="0.2">
      <c r="C34" s="94"/>
      <c r="D34" t="s">
        <v>15</v>
      </c>
      <c r="E34" s="78">
        <f>$E$10*'Service Pop and FTE est'!E26*'Per FTE cost'!C22</f>
        <v>0</v>
      </c>
      <c r="F34" s="78">
        <f>$E$10*'Service Pop and FTE est'!F26*'Per FTE cost'!D22</f>
        <v>0</v>
      </c>
      <c r="G34" s="78">
        <f>$E$10*'Service Pop and FTE est'!G26*'Per FTE cost'!E22</f>
        <v>0</v>
      </c>
      <c r="H34" s="78">
        <f>$E$10*'Service Pop and FTE est'!H26*'Per FTE cost'!F22</f>
        <v>0</v>
      </c>
      <c r="I34" s="78">
        <f>$E$10*'Service Pop and FTE est'!I26*'Per FTE cost'!G22</f>
        <v>0</v>
      </c>
      <c r="J34" s="78">
        <f>$E$10*'Service Pop and FTE est'!J26*'Per FTE cost'!H22</f>
        <v>0</v>
      </c>
      <c r="K34" s="78">
        <f>$E$10*'Service Pop and FTE est'!K26*'Per FTE cost'!I22</f>
        <v>0</v>
      </c>
      <c r="L34" s="78">
        <f>$E$10*'Service Pop and FTE est'!L26*'Per FTE cost'!J22</f>
        <v>0</v>
      </c>
      <c r="M34" s="78">
        <f>$E$10*'Service Pop and FTE est'!M26*'Per FTE cost'!K22</f>
        <v>0</v>
      </c>
      <c r="N34" s="78">
        <f>$E$10*'Service Pop and FTE est'!N26*'Per FTE cost'!L22</f>
        <v>0</v>
      </c>
      <c r="O34" s="78">
        <f>$E$10*'Service Pop and FTE est'!O26*'Per FTE cost'!M22</f>
        <v>0</v>
      </c>
      <c r="P34" s="78">
        <f>$E$10*'Service Pop and FTE est'!P26*'Per FTE cost'!N22</f>
        <v>0</v>
      </c>
      <c r="Q34" s="78">
        <f>$E$10*'Service Pop and FTE est'!Q26*'Per FTE cost'!O22</f>
        <v>0</v>
      </c>
      <c r="R34" s="100">
        <f>$E$10*'Service Pop and FTE est'!R26*'Per FTE cost'!P22</f>
        <v>0</v>
      </c>
    </row>
    <row r="35" spans="3:18" x14ac:dyDescent="0.2">
      <c r="C35" s="94"/>
      <c r="D35" t="s">
        <v>35</v>
      </c>
      <c r="E35" s="78">
        <f>VLOOKUP(E$32,'[8]Regionalized Costs'!$B$15:$G$26,6,FALSE)*'Service Pop and FTE est'!E28/12*$E$11</f>
        <v>0</v>
      </c>
      <c r="F35" s="78">
        <f>VLOOKUP(F$32,'[8]Regionalized Costs'!$B$15:$G$26,6,FALSE)*'Service Pop and FTE est'!F28/12*$E$11</f>
        <v>0</v>
      </c>
      <c r="G35" s="78">
        <f>VLOOKUP(G$32,'[8]Regionalized Costs'!$B$15:$G$26,6,FALSE)*'Service Pop and FTE est'!G28/12*$E$11</f>
        <v>0</v>
      </c>
      <c r="H35" s="78">
        <f>VLOOKUP(H$32,'[8]Regionalized Costs'!$B$15:$G$26,6,FALSE)*'Service Pop and FTE est'!H28/12*$E$11</f>
        <v>0</v>
      </c>
      <c r="I35" s="78">
        <f>VLOOKUP(I$32,'[8]Regionalized Costs'!$B$15:$G$26,6,FALSE)*'Service Pop and FTE est'!I28/12*$E$11</f>
        <v>0</v>
      </c>
      <c r="J35" s="78">
        <f>VLOOKUP(J$32,'[8]Regionalized Costs'!$B$15:$G$26,6,FALSE)*'Service Pop and FTE est'!J28/12*$E$11</f>
        <v>0</v>
      </c>
      <c r="K35" s="78">
        <f>VLOOKUP(K$32,'[8]Regionalized Costs'!$B$15:$G$26,6,FALSE)*'Service Pop and FTE est'!K28/12*$E$11</f>
        <v>0</v>
      </c>
      <c r="L35" s="78">
        <f>VLOOKUP(L$32,'[8]Regionalized Costs'!$B$15:$G$26,6,FALSE)*'Service Pop and FTE est'!L28/12*$E$11</f>
        <v>0</v>
      </c>
      <c r="M35" s="78">
        <f>VLOOKUP(M$32,'[8]Regionalized Costs'!$B$15:$G$26,6,FALSE)*'Service Pop and FTE est'!M28/12*$E$11</f>
        <v>0</v>
      </c>
      <c r="N35" s="78">
        <f>VLOOKUP(N$32,'[8]Regionalized Costs'!$B$15:$G$26,6,FALSE)*'Service Pop and FTE est'!N28/12*$E$11</f>
        <v>0</v>
      </c>
      <c r="O35" s="78">
        <f>VLOOKUP(O$32,'[8]Regionalized Costs'!$B$15:$G$26,6,FALSE)*'Service Pop and FTE est'!O28/12*$E$11</f>
        <v>0</v>
      </c>
      <c r="P35" s="78">
        <f>VLOOKUP(P$32,'[8]Regionalized Costs'!$B$15:$G$26,6,FALSE)*'Service Pop and FTE est'!P28/12*$E$11</f>
        <v>0</v>
      </c>
      <c r="Q35" s="78">
        <f>VLOOKUP(Q$32,'[8]Regionalized Costs'!$B$15:$G$26,6,FALSE)*'Service Pop and FTE est'!Q28/12*$E$11</f>
        <v>0</v>
      </c>
      <c r="R35" s="100">
        <f>VLOOKUP(R$32,'[8]Regionalized Costs'!$B$15:$G$26,6,FALSE)*'Service Pop and FTE est'!R28/12*$E$11</f>
        <v>0</v>
      </c>
    </row>
    <row r="36" spans="3:18" x14ac:dyDescent="0.2">
      <c r="C36" s="94"/>
      <c r="D36" t="s">
        <v>37</v>
      </c>
      <c r="E36" s="78">
        <f>VLOOKUP(E$32,Wages!$C$6:$H$17,6,FALSE)*'Service Pop and FTE est'!E29/12*$E$12</f>
        <v>10274.355555555556</v>
      </c>
      <c r="F36" s="78">
        <f>VLOOKUP(F$32,Wages!$C$6:$H$17,6,FALSE)*'Service Pop and FTE est'!F29/12*$E$12</f>
        <v>4495.0305555555542</v>
      </c>
      <c r="G36" s="78">
        <f>VLOOKUP(G$32,Wages!$C$6:$H$17,6,FALSE)*'Service Pop and FTE est'!G29/12*$E$12</f>
        <v>8380.241666666665</v>
      </c>
      <c r="H36" s="78">
        <f>VLOOKUP(H$32,Wages!$C$6:$H$17,6,FALSE)*'Service Pop and FTE est'!H29/12*$E$12</f>
        <v>5586.8277777777776</v>
      </c>
      <c r="I36" s="78">
        <f>VLOOKUP(I$32,Wages!$C$6:$H$17,6,FALSE)*'Service Pop and FTE est'!I29/12*$E$12</f>
        <v>3491.7673611111109</v>
      </c>
      <c r="J36" s="78">
        <f>VLOOKUP(J$32,Wages!$C$6:$H$17,6,FALSE)*'Service Pop and FTE est'!J29/12*$E$12</f>
        <v>3491.7673611111109</v>
      </c>
      <c r="K36" s="78">
        <f>VLOOKUP(K$32,Wages!$C$6:$H$17,6,FALSE)*'Service Pop and FTE est'!K29/12*$E$12</f>
        <v>7305.2695833333346</v>
      </c>
      <c r="L36" s="78">
        <f>VLOOKUP(L$32,Wages!$C$6:$H$17,6,FALSE)*'Service Pop and FTE est'!L29/12*$E$12</f>
        <v>3984.6925000000006</v>
      </c>
      <c r="M36" s="78">
        <f>VLOOKUP(M$32,Wages!$C$6:$H$17,6,FALSE)*'Service Pop and FTE est'!M29/12*$E$12</f>
        <v>5312.9233333333341</v>
      </c>
      <c r="N36" s="78">
        <f>VLOOKUP(N$32,Wages!$C$6:$H$17,6,FALSE)*'Service Pop and FTE est'!N29/12*$E$12</f>
        <v>5312.9233333333341</v>
      </c>
      <c r="O36" s="78">
        <f>VLOOKUP(O$32,Wages!$C$6:$H$17,6,FALSE)*'Service Pop and FTE est'!O29/12*$E$12</f>
        <v>5312.9233333333341</v>
      </c>
      <c r="P36" s="78">
        <f>VLOOKUP(P$32,Wages!$C$6:$H$17,6,FALSE)*'Service Pop and FTE est'!P29/12*$E$12</f>
        <v>3320.5770833333336</v>
      </c>
      <c r="Q36" s="78">
        <f>VLOOKUP(Q$32,Wages!$C$6:$H$17,6,FALSE)*'Service Pop and FTE est'!Q29/12*$E$12</f>
        <v>5269.0604166666662</v>
      </c>
      <c r="R36" s="100">
        <f>VLOOKUP(R$32,Wages!$C$6:$H$17,6,FALSE)*'Service Pop and FTE est'!R29/12*$E$12</f>
        <v>5269.0604166666662</v>
      </c>
    </row>
    <row r="37" spans="3:18" x14ac:dyDescent="0.2">
      <c r="C37" s="94"/>
      <c r="D37" t="s">
        <v>39</v>
      </c>
      <c r="E37" s="78">
        <f>VLOOKUP(E$32,'[8]Regionalized Costs'!$B$15:$G$26,6,FALSE)*'Service Pop and FTE est'!E30/12*$E$13</f>
        <v>0</v>
      </c>
      <c r="F37" s="78">
        <f>VLOOKUP(F$32,'[8]Regionalized Costs'!$B$15:$G$26,6,FALSE)*'Service Pop and FTE est'!F30/12*$E$13</f>
        <v>0</v>
      </c>
      <c r="G37" s="78">
        <f>VLOOKUP(G$32,'[8]Regionalized Costs'!$B$15:$G$26,6,FALSE)*'Service Pop and FTE est'!G30/12*$E$13</f>
        <v>0</v>
      </c>
      <c r="H37" s="78">
        <f>VLOOKUP(H$32,'[8]Regionalized Costs'!$B$15:$G$26,6,FALSE)*'Service Pop and FTE est'!H30/12*$E$13</f>
        <v>0</v>
      </c>
      <c r="I37" s="78">
        <f>VLOOKUP(I$32,'[8]Regionalized Costs'!$B$15:$G$26,6,FALSE)*'Service Pop and FTE est'!I30/12*$E$13</f>
        <v>0</v>
      </c>
      <c r="J37" s="78">
        <f>VLOOKUP(J$32,'[8]Regionalized Costs'!$B$15:$G$26,6,FALSE)*'Service Pop and FTE est'!J30/12*$E$13</f>
        <v>0</v>
      </c>
      <c r="K37" s="78">
        <f>VLOOKUP(K$32,'[8]Regionalized Costs'!$B$15:$G$26,6,FALSE)*'Service Pop and FTE est'!K30/12*$E$13</f>
        <v>0</v>
      </c>
      <c r="L37" s="78">
        <f>VLOOKUP(L$32,'[8]Regionalized Costs'!$B$15:$G$26,6,FALSE)*'Service Pop and FTE est'!L30/12*$E$13</f>
        <v>0</v>
      </c>
      <c r="M37" s="78">
        <f>VLOOKUP(M$32,'[8]Regionalized Costs'!$B$15:$G$26,6,FALSE)*'Service Pop and FTE est'!M30/12*$E$13</f>
        <v>0</v>
      </c>
      <c r="N37" s="78">
        <f>VLOOKUP(N$32,'[8]Regionalized Costs'!$B$15:$G$26,6,FALSE)*'Service Pop and FTE est'!N30/12*$E$13</f>
        <v>0</v>
      </c>
      <c r="O37" s="78">
        <f>VLOOKUP(O$32,'[8]Regionalized Costs'!$B$15:$G$26,6,FALSE)*'Service Pop and FTE est'!O30/12*$E$13</f>
        <v>0</v>
      </c>
      <c r="P37" s="78">
        <f>VLOOKUP(P$32,'[8]Regionalized Costs'!$B$15:$G$26,6,FALSE)*'Service Pop and FTE est'!P30/12*$E$13</f>
        <v>0</v>
      </c>
      <c r="Q37" s="78">
        <f>VLOOKUP(Q$32,'[8]Regionalized Costs'!$B$15:$G$26,6,FALSE)*'Service Pop and FTE est'!Q30/12*$E$13</f>
        <v>0</v>
      </c>
      <c r="R37" s="100">
        <f>VLOOKUP(R$32,'[8]Regionalized Costs'!$B$15:$G$26,6,FALSE)*'Service Pop and FTE est'!R30/12*$E$13</f>
        <v>0</v>
      </c>
    </row>
    <row r="38" spans="3:18" x14ac:dyDescent="0.2">
      <c r="C38" s="94"/>
      <c r="D38" t="s">
        <v>41</v>
      </c>
      <c r="E38" s="78">
        <f>VLOOKUP(E$32,'[8]Regionalized Costs'!$B$15:$G$26,6,FALSE)*'Service Pop and FTE est'!E31/12*$E$14</f>
        <v>8990.0611111111084</v>
      </c>
      <c r="F38" s="78">
        <f>VLOOKUP(F$32,'[8]Regionalized Costs'!$B$15:$G$26,6,FALSE)*'Service Pop and FTE est'!F31/12*$E$14</f>
        <v>4495.0305555555542</v>
      </c>
      <c r="G38" s="78">
        <f>VLOOKUP(G$32,'[8]Regionalized Costs'!$B$15:$G$26,6,FALSE)*'Service Pop and FTE est'!G31/12*$E$14</f>
        <v>7681.8881944444438</v>
      </c>
      <c r="H38" s="78">
        <f>VLOOKUP(H$32,'[8]Regionalized Costs'!$B$15:$G$26,6,FALSE)*'Service Pop and FTE est'!H31/12*$E$14</f>
        <v>5586.8277777777776</v>
      </c>
      <c r="I38" s="78">
        <f>VLOOKUP(I$32,'[8]Regionalized Costs'!$B$15:$G$26,6,FALSE)*'Service Pop and FTE est'!I31/12*$E$14</f>
        <v>1745.8836805555554</v>
      </c>
      <c r="J38" s="78">
        <f>VLOOKUP(J$32,'[8]Regionalized Costs'!$B$15:$G$26,6,FALSE)*'Service Pop and FTE est'!J31/12*$E$14</f>
        <v>3491.7673611111109</v>
      </c>
      <c r="K38" s="78">
        <f>VLOOKUP(K$32,'[8]Regionalized Costs'!$B$15:$G$26,6,FALSE)*'Service Pop and FTE est'!K31/12*$E$14</f>
        <v>6641.1541666666672</v>
      </c>
      <c r="L38" s="78">
        <f>VLOOKUP(L$32,'[8]Regionalized Costs'!$B$15:$G$26,6,FALSE)*'Service Pop and FTE est'!L31/12*$E$14</f>
        <v>3320.5770833333336</v>
      </c>
      <c r="M38" s="78">
        <f>VLOOKUP(M$32,'[8]Regionalized Costs'!$B$15:$G$26,6,FALSE)*'Service Pop and FTE est'!M31/12*$E$14</f>
        <v>4648.8079166666666</v>
      </c>
      <c r="N38" s="78">
        <f>VLOOKUP(N$32,'[8]Regionalized Costs'!$B$15:$G$26,6,FALSE)*'Service Pop and FTE est'!N31/12*$E$14</f>
        <v>5312.9233333333341</v>
      </c>
      <c r="O38" s="78">
        <f>VLOOKUP(O$32,'[8]Regionalized Costs'!$B$15:$G$26,6,FALSE)*'Service Pop and FTE est'!O31/12*$E$14</f>
        <v>5312.9233333333341</v>
      </c>
      <c r="P38" s="78">
        <f>VLOOKUP(P$32,'[8]Regionalized Costs'!$B$15:$G$26,6,FALSE)*'Service Pop and FTE est'!P31/12*$E$14</f>
        <v>2656.461666666667</v>
      </c>
      <c r="Q38" s="78">
        <f>VLOOKUP(Q$32,'[8]Regionalized Costs'!$B$15:$G$26,6,FALSE)*'Service Pop and FTE est'!Q31/12*$E$14</f>
        <v>5269.0604166666662</v>
      </c>
      <c r="R38" s="100">
        <f>VLOOKUP(R$32,'[8]Regionalized Costs'!$B$15:$G$26,6,FALSE)*'Service Pop and FTE est'!R31/12*$E$14</f>
        <v>4516.3374999999996</v>
      </c>
    </row>
    <row r="39" spans="3:18" x14ac:dyDescent="0.2">
      <c r="C39" s="94"/>
      <c r="D39" t="s">
        <v>43</v>
      </c>
      <c r="E39" s="78">
        <f>VLOOKUP(E$32,Wages!$C$6:$H$17,6,FALSE)*'Service Pop and FTE est'!E32/12*$E$15</f>
        <v>3852.8833333333328</v>
      </c>
      <c r="F39" s="78">
        <f>VLOOKUP(F$32,Wages!$C$6:$H$17,6,FALSE)*'Service Pop and FTE est'!F32/12*$E$15</f>
        <v>1926.4416666666664</v>
      </c>
      <c r="G39" s="78">
        <f>VLOOKUP(G$32,Wages!$C$6:$H$17,6,FALSE)*'Service Pop and FTE est'!G32/12*$E$15</f>
        <v>3491.7673611111109</v>
      </c>
      <c r="H39" s="78">
        <f>VLOOKUP(H$32,Wages!$C$6:$H$17,6,FALSE)*'Service Pop and FTE est'!H32/12*$E$15</f>
        <v>2095.0604166666662</v>
      </c>
      <c r="I39" s="78">
        <f>VLOOKUP(I$32,Wages!$C$6:$H$17,6,FALSE)*'Service Pop and FTE est'!I32/12*$E$15</f>
        <v>1396.7069444444444</v>
      </c>
      <c r="J39" s="78">
        <f>VLOOKUP(J$32,Wages!$C$6:$H$17,6,FALSE)*'Service Pop and FTE est'!J32/12*$E$15</f>
        <v>1396.7069444444444</v>
      </c>
      <c r="K39" s="78">
        <f>VLOOKUP(K$32,Wages!$C$6:$H$17,6,FALSE)*'Service Pop and FTE est'!K32/12*$E$15</f>
        <v>2656.461666666667</v>
      </c>
      <c r="L39" s="78">
        <f>VLOOKUP(L$32,Wages!$C$6:$H$17,6,FALSE)*'Service Pop and FTE est'!L32/12*$E$15</f>
        <v>1328.2308333333335</v>
      </c>
      <c r="M39" s="78">
        <f>VLOOKUP(M$32,Wages!$C$6:$H$17,6,FALSE)*'Service Pop and FTE est'!M32/12*$E$15</f>
        <v>1992.3462500000003</v>
      </c>
      <c r="N39" s="78">
        <f>VLOOKUP(N$32,Wages!$C$6:$H$17,6,FALSE)*'Service Pop and FTE est'!N32/12*$E$15</f>
        <v>1992.3462500000003</v>
      </c>
      <c r="O39" s="78">
        <f>VLOOKUP(O$32,Wages!$C$6:$H$17,6,FALSE)*'Service Pop and FTE est'!O32/12*$E$15</f>
        <v>1992.3462500000003</v>
      </c>
      <c r="P39" s="78">
        <f>VLOOKUP(P$32,Wages!$C$6:$H$17,6,FALSE)*'Service Pop and FTE est'!P32/12*$E$15</f>
        <v>1328.2308333333335</v>
      </c>
      <c r="Q39" s="78">
        <f>VLOOKUP(Q$32,Wages!$C$6:$H$17,6,FALSE)*'Service Pop and FTE est'!Q32/12*$E$15</f>
        <v>2258.1687499999998</v>
      </c>
      <c r="R39" s="100">
        <f>VLOOKUP(R$32,Wages!$C$6:$H$17,6,FALSE)*'Service Pop and FTE est'!R32/12*$E$15</f>
        <v>2258.1687499999998</v>
      </c>
    </row>
    <row r="40" spans="3:18" x14ac:dyDescent="0.2">
      <c r="C40" s="94"/>
      <c r="D40" t="s">
        <v>45</v>
      </c>
      <c r="E40" s="78">
        <f>VLOOKUP(E$32,'[8]Regionalized Costs'!$B$15:$G$26,6,FALSE)*'Service Pop and FTE est'!E33/12*$E$16</f>
        <v>0</v>
      </c>
      <c r="F40" s="78">
        <f>VLOOKUP(F$32,'[8]Regionalized Costs'!$B$15:$G$26,6,FALSE)*'Service Pop and FTE est'!F33/12*$E$16</f>
        <v>0</v>
      </c>
      <c r="G40" s="78">
        <f>VLOOKUP(G$32,'[8]Regionalized Costs'!$B$15:$G$26,6,FALSE)*'Service Pop and FTE est'!G33/12*$E$16</f>
        <v>0</v>
      </c>
      <c r="H40" s="78">
        <f>VLOOKUP(H$32,'[8]Regionalized Costs'!$B$15:$G$26,6,FALSE)*'Service Pop and FTE est'!H33/12*$E$16</f>
        <v>0</v>
      </c>
      <c r="I40" s="78">
        <f>VLOOKUP(I$32,'[8]Regionalized Costs'!$B$15:$G$26,6,FALSE)*'Service Pop and FTE est'!I33/12*$E$16</f>
        <v>0</v>
      </c>
      <c r="J40" s="78">
        <f>VLOOKUP(J$32,'[8]Regionalized Costs'!$B$15:$G$26,6,FALSE)*'Service Pop and FTE est'!J33/12*$E$16</f>
        <v>0</v>
      </c>
      <c r="K40" s="78">
        <f>VLOOKUP(K$32,'[8]Regionalized Costs'!$B$15:$G$26,6,FALSE)*'Service Pop and FTE est'!K33/12*$E$16</f>
        <v>0</v>
      </c>
      <c r="L40" s="78">
        <f>VLOOKUP(L$32,'[8]Regionalized Costs'!$B$15:$G$26,6,FALSE)*'Service Pop and FTE est'!L33/12*$E$16</f>
        <v>0</v>
      </c>
      <c r="M40" s="78">
        <f>VLOOKUP(M$32,'[8]Regionalized Costs'!$B$15:$G$26,6,FALSE)*'Service Pop and FTE est'!M33/12*$E$16</f>
        <v>0</v>
      </c>
      <c r="N40" s="78">
        <f>VLOOKUP(N$32,'[8]Regionalized Costs'!$B$15:$G$26,6,FALSE)*'Service Pop and FTE est'!N33/12*$E$16</f>
        <v>0</v>
      </c>
      <c r="O40" s="78">
        <f>VLOOKUP(O$32,'[8]Regionalized Costs'!$B$15:$G$26,6,FALSE)*'Service Pop and FTE est'!O33/12*$E$16</f>
        <v>0</v>
      </c>
      <c r="P40" s="78">
        <f>VLOOKUP(P$32,'[8]Regionalized Costs'!$B$15:$G$26,6,FALSE)*'Service Pop and FTE est'!P33/12*$E$16</f>
        <v>0</v>
      </c>
      <c r="Q40" s="78">
        <f>VLOOKUP(Q$32,'[8]Regionalized Costs'!$B$15:$G$26,6,FALSE)*'Service Pop and FTE est'!Q33/12*$E$16</f>
        <v>0</v>
      </c>
      <c r="R40" s="100">
        <f>VLOOKUP(R$32,'[8]Regionalized Costs'!$B$15:$G$26,6,FALSE)*'Service Pop and FTE est'!R33/12*$E$16</f>
        <v>0</v>
      </c>
    </row>
    <row r="41" spans="3:18" x14ac:dyDescent="0.2">
      <c r="C41" s="94"/>
      <c r="D41" s="140" t="s">
        <v>197</v>
      </c>
      <c r="E41" s="147">
        <f>SUM(E33:E40)*0.3</f>
        <v>6935.1899999999987</v>
      </c>
      <c r="F41" s="147">
        <f t="shared" ref="F41:R41" si="0">SUM(F33:F40)*0.3</f>
        <v>3274.950833333332</v>
      </c>
      <c r="G41" s="147">
        <f t="shared" si="0"/>
        <v>5866.1691666666657</v>
      </c>
      <c r="H41" s="147">
        <f t="shared" si="0"/>
        <v>3980.614791666666</v>
      </c>
      <c r="I41" s="147">
        <f t="shared" si="0"/>
        <v>1990.307395833333</v>
      </c>
      <c r="J41" s="147">
        <f t="shared" si="0"/>
        <v>2514.0724999999998</v>
      </c>
      <c r="K41" s="147">
        <f t="shared" si="0"/>
        <v>4980.8656250000004</v>
      </c>
      <c r="L41" s="147">
        <f t="shared" si="0"/>
        <v>2590.0501250000002</v>
      </c>
      <c r="M41" s="147">
        <f t="shared" si="0"/>
        <v>3586.2232500000005</v>
      </c>
      <c r="N41" s="147">
        <f t="shared" si="0"/>
        <v>3785.4578750000005</v>
      </c>
      <c r="O41" s="147">
        <f t="shared" si="0"/>
        <v>3785.4578750000005</v>
      </c>
      <c r="P41" s="147">
        <f t="shared" si="0"/>
        <v>2191.5808750000001</v>
      </c>
      <c r="Q41" s="147">
        <f t="shared" si="0"/>
        <v>3838.8868749999992</v>
      </c>
      <c r="R41" s="148">
        <f t="shared" si="0"/>
        <v>3613.0699999999997</v>
      </c>
    </row>
    <row r="42" spans="3:18" x14ac:dyDescent="0.2">
      <c r="C42" s="94"/>
      <c r="D42" s="143" t="s">
        <v>202</v>
      </c>
      <c r="E42" s="205">
        <f>SUM(E33:E41)</f>
        <v>30052.489999999994</v>
      </c>
      <c r="F42" s="205">
        <f t="shared" ref="F42:R42" si="1">SUM(F33:F41)</f>
        <v>14191.453611111107</v>
      </c>
      <c r="G42" s="205">
        <f t="shared" si="1"/>
        <v>25420.066388888885</v>
      </c>
      <c r="H42" s="205">
        <f t="shared" si="1"/>
        <v>17249.330763888887</v>
      </c>
      <c r="I42" s="205">
        <f t="shared" si="1"/>
        <v>8624.6653819444437</v>
      </c>
      <c r="J42" s="205">
        <f t="shared" si="1"/>
        <v>10894.314166666667</v>
      </c>
      <c r="K42" s="205">
        <f t="shared" si="1"/>
        <v>21583.75104166667</v>
      </c>
      <c r="L42" s="205">
        <f t="shared" si="1"/>
        <v>11223.550541666667</v>
      </c>
      <c r="M42" s="205">
        <f t="shared" si="1"/>
        <v>15540.300750000002</v>
      </c>
      <c r="N42" s="205">
        <f t="shared" si="1"/>
        <v>16403.650791666671</v>
      </c>
      <c r="O42" s="205">
        <f t="shared" si="1"/>
        <v>16403.650791666671</v>
      </c>
      <c r="P42" s="205">
        <f t="shared" si="1"/>
        <v>9496.8504583333342</v>
      </c>
      <c r="Q42" s="205">
        <f t="shared" si="1"/>
        <v>16635.176458333332</v>
      </c>
      <c r="R42" s="144">
        <f t="shared" si="1"/>
        <v>15656.636666666665</v>
      </c>
    </row>
    <row r="43" spans="3:18" ht="13.5" thickBot="1" x14ac:dyDescent="0.25">
      <c r="C43" s="102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6"/>
    </row>
    <row r="45" spans="3:18" x14ac:dyDescent="0.2">
      <c r="E45" s="17" t="s">
        <v>220</v>
      </c>
    </row>
    <row r="46" spans="3:18" ht="13.5" thickBot="1" x14ac:dyDescent="0.25"/>
    <row r="47" spans="3:18" x14ac:dyDescent="0.2">
      <c r="C47" s="134" t="s">
        <v>187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5"/>
    </row>
    <row r="48" spans="3:18" ht="15" x14ac:dyDescent="0.25">
      <c r="C48" s="94"/>
      <c r="E48" s="129" t="s">
        <v>76</v>
      </c>
      <c r="F48" s="96" t="s">
        <v>77</v>
      </c>
      <c r="G48" s="97" t="s">
        <v>78</v>
      </c>
      <c r="H48" s="97" t="s">
        <v>79</v>
      </c>
      <c r="I48" s="130" t="s">
        <v>80</v>
      </c>
      <c r="J48" s="97" t="s">
        <v>81</v>
      </c>
      <c r="K48" s="98" t="s">
        <v>82</v>
      </c>
      <c r="L48" s="98" t="s">
        <v>83</v>
      </c>
      <c r="M48" s="98" t="s">
        <v>84</v>
      </c>
      <c r="N48" s="98" t="s">
        <v>84</v>
      </c>
      <c r="O48" s="98" t="s">
        <v>85</v>
      </c>
      <c r="P48" s="98" t="s">
        <v>86</v>
      </c>
      <c r="Q48" s="127" t="s">
        <v>87</v>
      </c>
      <c r="R48" s="135" t="s">
        <v>87</v>
      </c>
    </row>
    <row r="49" spans="3:18" x14ac:dyDescent="0.2">
      <c r="C49" s="94"/>
      <c r="D49" t="s">
        <v>18</v>
      </c>
      <c r="E49" s="78">
        <f>$F$9*'Service Pop and FTE est'!E$25*'Per FTE cost'!C21</f>
        <v>0</v>
      </c>
      <c r="F49" s="78">
        <f>$F$9*'Service Pop and FTE est'!F$25*'Per FTE cost'!D21</f>
        <v>0</v>
      </c>
      <c r="G49" s="78">
        <f>$F$9*'Service Pop and FTE est'!G$25*'Per FTE cost'!E21</f>
        <v>0</v>
      </c>
      <c r="H49" s="78">
        <f>$F$9*'Service Pop and FTE est'!H$25*'Per FTE cost'!F21</f>
        <v>0</v>
      </c>
      <c r="I49" s="78">
        <f>$F$9*'Service Pop and FTE est'!I$25*'Per FTE cost'!G21</f>
        <v>0</v>
      </c>
      <c r="J49" s="78">
        <f>$F$9*'Service Pop and FTE est'!J$25*'Per FTE cost'!H21</f>
        <v>0</v>
      </c>
      <c r="K49" s="78">
        <f>$F$9*'Service Pop and FTE est'!K$25*'Per FTE cost'!I21</f>
        <v>0</v>
      </c>
      <c r="L49" s="78">
        <f>$F$9*'Service Pop and FTE est'!L$25*'Per FTE cost'!J21</f>
        <v>0</v>
      </c>
      <c r="M49" s="78">
        <f>$F$9*'Service Pop and FTE est'!M$25*'Per FTE cost'!K21</f>
        <v>0</v>
      </c>
      <c r="N49" s="78">
        <f>$F$9*'Service Pop and FTE est'!N$25*'Per FTE cost'!L21</f>
        <v>0</v>
      </c>
      <c r="O49" s="78">
        <f>$F$9*'Service Pop and FTE est'!O$25*'Per FTE cost'!M21</f>
        <v>0</v>
      </c>
      <c r="P49" s="78">
        <f>$F$9*'Service Pop and FTE est'!P$25*'Per FTE cost'!N21</f>
        <v>0</v>
      </c>
      <c r="Q49" s="78">
        <f>$F$9*'Service Pop and FTE est'!Q$25*'Per FTE cost'!O21</f>
        <v>0</v>
      </c>
      <c r="R49" s="100">
        <f>$F$9*'Service Pop and FTE est'!R$25*'Per FTE cost'!P21</f>
        <v>0</v>
      </c>
    </row>
    <row r="50" spans="3:18" x14ac:dyDescent="0.2">
      <c r="C50" s="94"/>
      <c r="D50" t="s">
        <v>15</v>
      </c>
      <c r="E50" s="78">
        <f>$F$9*'Service Pop and FTE est'!E$25*'Per FTE cost'!C22</f>
        <v>0</v>
      </c>
      <c r="F50" s="78">
        <f>$F$9*'Service Pop and FTE est'!F$25*'Per FTE cost'!D22</f>
        <v>0</v>
      </c>
      <c r="G50" s="78">
        <f>$F$9*'Service Pop and FTE est'!G$25*'Per FTE cost'!E22</f>
        <v>0</v>
      </c>
      <c r="H50" s="78">
        <f>$F$9*'Service Pop and FTE est'!H$25*'Per FTE cost'!F22</f>
        <v>0</v>
      </c>
      <c r="I50" s="78">
        <f>$F$9*'Service Pop and FTE est'!I$25*'Per FTE cost'!G22</f>
        <v>0</v>
      </c>
      <c r="J50" s="78">
        <f>$F$9*'Service Pop and FTE est'!J$25*'Per FTE cost'!H22</f>
        <v>0</v>
      </c>
      <c r="K50" s="78">
        <f>$F$9*'Service Pop and FTE est'!K$25*'Per FTE cost'!I22</f>
        <v>0</v>
      </c>
      <c r="L50" s="78">
        <f>$F$9*'Service Pop and FTE est'!L$25*'Per FTE cost'!J22</f>
        <v>0</v>
      </c>
      <c r="M50" s="78">
        <f>$F$9*'Service Pop and FTE est'!M$25*'Per FTE cost'!K22</f>
        <v>0</v>
      </c>
      <c r="N50" s="78">
        <f>$F$9*'Service Pop and FTE est'!N$25*'Per FTE cost'!L22</f>
        <v>0</v>
      </c>
      <c r="O50" s="78">
        <f>$F$9*'Service Pop and FTE est'!O$25*'Per FTE cost'!M22</f>
        <v>0</v>
      </c>
      <c r="P50" s="78">
        <f>$F$9*'Service Pop and FTE est'!P$25*'Per FTE cost'!N22</f>
        <v>0</v>
      </c>
      <c r="Q50" s="78">
        <f>$F$9*'Service Pop and FTE est'!Q$25*'Per FTE cost'!O22</f>
        <v>0</v>
      </c>
      <c r="R50" s="100">
        <f>$F$9*'Service Pop and FTE est'!R$25*'Per FTE cost'!P22</f>
        <v>0</v>
      </c>
    </row>
    <row r="51" spans="3:18" x14ac:dyDescent="0.2">
      <c r="C51" s="94"/>
      <c r="D51" t="s">
        <v>35</v>
      </c>
      <c r="E51" s="78">
        <f>VLOOKUP(E$32,Wages!$C$6:$H$17,5,FALSE)*'Service Pop and FTE est'!E28/12*$F11</f>
        <v>12982.541666666666</v>
      </c>
      <c r="F51" s="78">
        <f>VLOOKUP(F$32,Wages!$C$6:$H$17,5,FALSE)*'Service Pop and FTE est'!F28/12*$F11</f>
        <v>6142.2777777777774</v>
      </c>
      <c r="G51" s="78">
        <f>VLOOKUP(G$32,Wages!$C$6:$H$17,5,FALSE)*'Service Pop and FTE est'!G28/12*$F11</f>
        <v>11082.565972222221</v>
      </c>
      <c r="H51" s="78">
        <f>VLOOKUP(H$32,Wages!$C$6:$H$17,5,FALSE)*'Service Pop and FTE est'!H28/12*$F11</f>
        <v>7590.7986111111095</v>
      </c>
      <c r="I51" s="78">
        <f>VLOOKUP(I$32,Wages!$C$6:$H$17,5,FALSE)*'Service Pop and FTE est'!I28/12*$F11</f>
        <v>1518.1597222222219</v>
      </c>
      <c r="J51" s="78">
        <f>VLOOKUP(J$32,Wages!$C$6:$H$17,5,FALSE)*'Service Pop and FTE est'!J28/12*$F11</f>
        <v>4706.2951388888887</v>
      </c>
      <c r="K51" s="78">
        <f>VLOOKUP(K$32,Wages!$C$6:$H$17,5,FALSE)*'Service Pop and FTE est'!K28/12*$F11</f>
        <v>9239.8666666666668</v>
      </c>
      <c r="L51" s="78">
        <f>VLOOKUP(L$32,Wages!$C$6:$H$17,5,FALSE)*'Service Pop and FTE est'!L28/12*$F11</f>
        <v>4764.3062499999996</v>
      </c>
      <c r="M51" s="78">
        <f>VLOOKUP(M$32,Wages!$C$6:$H$17,5,FALSE)*'Service Pop and FTE est'!M28/12*$F11</f>
        <v>6929.9000000000005</v>
      </c>
      <c r="N51" s="78">
        <f>VLOOKUP(N$32,Wages!$C$6:$H$17,5,FALSE)*'Service Pop and FTE est'!N28/12*$F11</f>
        <v>7218.645833333333</v>
      </c>
      <c r="O51" s="78">
        <f>VLOOKUP(O$32,Wages!$C$6:$H$17,5,FALSE)*'Service Pop and FTE est'!O28/12*$F11</f>
        <v>7074.2729166666677</v>
      </c>
      <c r="P51" s="78">
        <f>VLOOKUP(P$32,Wages!$C$6:$H$17,5,FALSE)*'Service Pop and FTE est'!P28/12*$F11</f>
        <v>4042.4416666666662</v>
      </c>
      <c r="Q51" s="78">
        <f>VLOOKUP(Q$32,Wages!$C$6:$H$17,5,FALSE)*'Service Pop and FTE est'!Q28/12*$F11</f>
        <v>6872.6875</v>
      </c>
      <c r="R51" s="100">
        <f>VLOOKUP(R$32,Wages!$C$6:$H$17,5,FALSE)*'Service Pop and FTE est'!R28/12*$F11</f>
        <v>6545.416666666667</v>
      </c>
    </row>
    <row r="52" spans="3:18" x14ac:dyDescent="0.2">
      <c r="C52" s="94"/>
      <c r="D52" t="s">
        <v>37</v>
      </c>
      <c r="E52" s="78">
        <f>VLOOKUP(E$32,Wages!$C$6:$H$17,6,FALSE)*'Service Pop and FTE est'!E29/12*$F12</f>
        <v>10274.355555555556</v>
      </c>
      <c r="F52" s="78">
        <f>VLOOKUP(F$32,Wages!$C$6:$H$17,6,FALSE)*'Service Pop and FTE est'!F29/12*$F12</f>
        <v>4495.0305555555542</v>
      </c>
      <c r="G52" s="78">
        <f>VLOOKUP(G$32,Wages!$C$6:$H$17,6,FALSE)*'Service Pop and FTE est'!G29/12*$F12</f>
        <v>8380.241666666665</v>
      </c>
      <c r="H52" s="78">
        <f>VLOOKUP(H$32,Wages!$C$6:$H$17,6,FALSE)*'Service Pop and FTE est'!H29/12*$F12</f>
        <v>5586.8277777777776</v>
      </c>
      <c r="I52" s="78">
        <f>VLOOKUP(I$32,Wages!$C$6:$H$17,6,FALSE)*'Service Pop and FTE est'!I29/12*$F12</f>
        <v>3491.7673611111109</v>
      </c>
      <c r="J52" s="78">
        <f>VLOOKUP(J$32,Wages!$C$6:$H$17,6,FALSE)*'Service Pop and FTE est'!J29/12*$F12</f>
        <v>3491.7673611111109</v>
      </c>
      <c r="K52" s="78">
        <f>VLOOKUP(K$32,Wages!$C$6:$H$17,6,FALSE)*'Service Pop and FTE est'!K29/12*$F12</f>
        <v>7305.2695833333346</v>
      </c>
      <c r="L52" s="78">
        <f>VLOOKUP(L$32,Wages!$C$6:$H$17,6,FALSE)*'Service Pop and FTE est'!L29/12*$F12</f>
        <v>3984.6925000000006</v>
      </c>
      <c r="M52" s="78">
        <f>VLOOKUP(M$32,Wages!$C$6:$H$17,6,FALSE)*'Service Pop and FTE est'!M29/12*$F12</f>
        <v>5312.9233333333341</v>
      </c>
      <c r="N52" s="78">
        <f>VLOOKUP(N$32,Wages!$C$6:$H$17,6,FALSE)*'Service Pop and FTE est'!N29/12*$F12</f>
        <v>5312.9233333333341</v>
      </c>
      <c r="O52" s="78">
        <f>VLOOKUP(O$32,Wages!$C$6:$H$17,6,FALSE)*'Service Pop and FTE est'!O29/12*$F12</f>
        <v>5312.9233333333341</v>
      </c>
      <c r="P52" s="78">
        <f>VLOOKUP(P$32,Wages!$C$6:$H$17,6,FALSE)*'Service Pop and FTE est'!P29/12*$F12</f>
        <v>3320.5770833333336</v>
      </c>
      <c r="Q52" s="78">
        <f>VLOOKUP(Q$32,Wages!$C$6:$H$17,6,FALSE)*'Service Pop and FTE est'!Q29/12*$F12</f>
        <v>5269.0604166666662</v>
      </c>
      <c r="R52" s="100">
        <f>VLOOKUP(R$32,Wages!$C$6:$H$17,6,FALSE)*'Service Pop and FTE est'!R29/12*$F12</f>
        <v>5269.0604166666662</v>
      </c>
    </row>
    <row r="53" spans="3:18" x14ac:dyDescent="0.2">
      <c r="C53" s="94"/>
      <c r="D53" t="s">
        <v>39</v>
      </c>
      <c r="E53" s="78">
        <f>VLOOKUP(E$32,Wages!$C$6:$H$17,6,FALSE)*'Service Pop and FTE est'!E30/12*$F13</f>
        <v>8990.0611111111084</v>
      </c>
      <c r="F53" s="78">
        <f>VLOOKUP(F$32,Wages!$C$6:$H$17,6,FALSE)*'Service Pop and FTE est'!F30/12*$F13</f>
        <v>4495.0305555555542</v>
      </c>
      <c r="G53" s="78">
        <f>VLOOKUP(G$32,Wages!$C$6:$H$17,6,FALSE)*'Service Pop and FTE est'!G30/12*$F13</f>
        <v>7681.8881944444438</v>
      </c>
      <c r="H53" s="78">
        <f>VLOOKUP(H$32,Wages!$C$6:$H$17,6,FALSE)*'Service Pop and FTE est'!H30/12*$F13</f>
        <v>5586.8277777777776</v>
      </c>
      <c r="I53" s="78">
        <f>VLOOKUP(I$32,Wages!$C$6:$H$17,6,FALSE)*'Service Pop and FTE est'!I30/12*$F13</f>
        <v>3491.7673611111109</v>
      </c>
      <c r="J53" s="78">
        <f>VLOOKUP(J$32,Wages!$C$6:$H$17,6,FALSE)*'Service Pop and FTE est'!J30/12*$F13</f>
        <v>3491.7673611111109</v>
      </c>
      <c r="K53" s="78">
        <f>VLOOKUP(K$32,Wages!$C$6:$H$17,6,FALSE)*'Service Pop and FTE est'!K30/12*$F13</f>
        <v>6641.1541666666672</v>
      </c>
      <c r="L53" s="78">
        <f>VLOOKUP(L$32,Wages!$C$6:$H$17,6,FALSE)*'Service Pop and FTE est'!L30/12*$F13</f>
        <v>3320.5770833333336</v>
      </c>
      <c r="M53" s="78">
        <f>VLOOKUP(M$32,Wages!$C$6:$H$17,6,FALSE)*'Service Pop and FTE est'!M30/12*$F13</f>
        <v>4648.8079166666666</v>
      </c>
      <c r="N53" s="78">
        <f>VLOOKUP(N$32,Wages!$C$6:$H$17,6,FALSE)*'Service Pop and FTE est'!N30/12*$F13</f>
        <v>5312.9233333333341</v>
      </c>
      <c r="O53" s="78">
        <f>VLOOKUP(O$32,Wages!$C$6:$H$17,6,FALSE)*'Service Pop and FTE est'!O30/12*$F13</f>
        <v>5312.9233333333341</v>
      </c>
      <c r="P53" s="78">
        <f>VLOOKUP(P$32,Wages!$C$6:$H$17,6,FALSE)*'Service Pop and FTE est'!P30/12*$F13</f>
        <v>2656.461666666667</v>
      </c>
      <c r="Q53" s="78">
        <f>VLOOKUP(Q$32,Wages!$C$6:$H$17,6,FALSE)*'Service Pop and FTE est'!Q30/12*$F13</f>
        <v>5269.0604166666662</v>
      </c>
      <c r="R53" s="100">
        <f>VLOOKUP(R$32,Wages!$C$6:$H$17,6,FALSE)*'Service Pop and FTE est'!R30/12*$F13</f>
        <v>4516.3374999999996</v>
      </c>
    </row>
    <row r="54" spans="3:18" x14ac:dyDescent="0.2">
      <c r="C54" s="94"/>
      <c r="D54" t="s">
        <v>41</v>
      </c>
      <c r="E54" s="78">
        <f>VLOOKUP(E$32,Wages!$C$6:$H$17,6,FALSE)*'Service Pop and FTE est'!E31/12*$F14</f>
        <v>8990.0611111111084</v>
      </c>
      <c r="F54" s="78">
        <f>VLOOKUP(F$32,Wages!$C$6:$H$17,6,FALSE)*'Service Pop and FTE est'!F31/12*$F14</f>
        <v>4495.0305555555542</v>
      </c>
      <c r="G54" s="78">
        <f>VLOOKUP(G$32,Wages!$C$6:$H$17,6,FALSE)*'Service Pop and FTE est'!G31/12*$F14</f>
        <v>7681.8881944444438</v>
      </c>
      <c r="H54" s="78">
        <f>VLOOKUP(H$32,Wages!$C$6:$H$17,6,FALSE)*'Service Pop and FTE est'!H31/12*$F14</f>
        <v>5586.8277777777776</v>
      </c>
      <c r="I54" s="78">
        <f>VLOOKUP(I$32,Wages!$C$6:$H$17,6,FALSE)*'Service Pop and FTE est'!I31/12*$F14</f>
        <v>1745.8836805555554</v>
      </c>
      <c r="J54" s="78">
        <f>VLOOKUP(J$32,Wages!$C$6:$H$17,6,FALSE)*'Service Pop and FTE est'!J31/12*$F14</f>
        <v>3491.7673611111109</v>
      </c>
      <c r="K54" s="78">
        <f>VLOOKUP(K$32,Wages!$C$6:$H$17,6,FALSE)*'Service Pop and FTE est'!K31/12*$F14</f>
        <v>6641.1541666666672</v>
      </c>
      <c r="L54" s="78">
        <f>VLOOKUP(L$32,Wages!$C$6:$H$17,6,FALSE)*'Service Pop and FTE est'!L31/12*$F14</f>
        <v>3320.5770833333336</v>
      </c>
      <c r="M54" s="78">
        <f>VLOOKUP(M$32,Wages!$C$6:$H$17,6,FALSE)*'Service Pop and FTE est'!M31/12*$F14</f>
        <v>4648.8079166666666</v>
      </c>
      <c r="N54" s="78">
        <f>VLOOKUP(N$32,Wages!$C$6:$H$17,6,FALSE)*'Service Pop and FTE est'!N31/12*$F14</f>
        <v>5312.9233333333341</v>
      </c>
      <c r="O54" s="78">
        <f>VLOOKUP(O$32,Wages!$C$6:$H$17,6,FALSE)*'Service Pop and FTE est'!O31/12*$F14</f>
        <v>5312.9233333333341</v>
      </c>
      <c r="P54" s="78">
        <f>VLOOKUP(P$32,Wages!$C$6:$H$17,6,FALSE)*'Service Pop and FTE est'!P31/12*$F14</f>
        <v>2656.461666666667</v>
      </c>
      <c r="Q54" s="78">
        <f>VLOOKUP(Q$32,Wages!$C$6:$H$17,6,FALSE)*'Service Pop and FTE est'!Q31/12*$F14</f>
        <v>5269.0604166666662</v>
      </c>
      <c r="R54" s="100">
        <f>VLOOKUP(R$32,Wages!$C$6:$H$17,6,FALSE)*'Service Pop and FTE est'!R31/12*$F14</f>
        <v>4516.3374999999996</v>
      </c>
    </row>
    <row r="55" spans="3:18" x14ac:dyDescent="0.2">
      <c r="C55" s="94"/>
      <c r="D55" t="s">
        <v>43</v>
      </c>
      <c r="E55" s="78">
        <f>VLOOKUP(E$32,Wages!$C$6:$H$17,6,FALSE)*'Service Pop and FTE est'!E32/12*$F15</f>
        <v>3852.8833333333328</v>
      </c>
      <c r="F55" s="78">
        <f>VLOOKUP(F$32,Wages!$C$6:$H$17,6,FALSE)*'Service Pop and FTE est'!F32/12*$F15</f>
        <v>1926.4416666666664</v>
      </c>
      <c r="G55" s="78">
        <f>VLOOKUP(G$32,Wages!$C$6:$H$17,6,FALSE)*'Service Pop and FTE est'!G32/12*$F15</f>
        <v>3491.7673611111109</v>
      </c>
      <c r="H55" s="78">
        <f>VLOOKUP(H$32,Wages!$C$6:$H$17,6,FALSE)*'Service Pop and FTE est'!H32/12*$F15</f>
        <v>2095.0604166666662</v>
      </c>
      <c r="I55" s="78">
        <f>VLOOKUP(I$32,Wages!$C$6:$H$17,6,FALSE)*'Service Pop and FTE est'!I32/12*$F15</f>
        <v>1396.7069444444444</v>
      </c>
      <c r="J55" s="78">
        <f>VLOOKUP(J$32,Wages!$C$6:$H$17,6,FALSE)*'Service Pop and FTE est'!J32/12*$F15</f>
        <v>1396.7069444444444</v>
      </c>
      <c r="K55" s="78">
        <f>VLOOKUP(K$32,Wages!$C$6:$H$17,6,FALSE)*'Service Pop and FTE est'!K32/12*$F15</f>
        <v>2656.461666666667</v>
      </c>
      <c r="L55" s="78">
        <f>VLOOKUP(L$32,Wages!$C$6:$H$17,6,FALSE)*'Service Pop and FTE est'!L32/12*$F15</f>
        <v>1328.2308333333335</v>
      </c>
      <c r="M55" s="78">
        <f>VLOOKUP(M$32,Wages!$C$6:$H$17,6,FALSE)*'Service Pop and FTE est'!M32/12*$F15</f>
        <v>1992.3462500000003</v>
      </c>
      <c r="N55" s="78">
        <f>VLOOKUP(N$32,Wages!$C$6:$H$17,6,FALSE)*'Service Pop and FTE est'!N32/12*$F15</f>
        <v>1992.3462500000003</v>
      </c>
      <c r="O55" s="78">
        <f>VLOOKUP(O$32,Wages!$C$6:$H$17,6,FALSE)*'Service Pop and FTE est'!O32/12*$F15</f>
        <v>1992.3462500000003</v>
      </c>
      <c r="P55" s="78">
        <f>VLOOKUP(P$32,Wages!$C$6:$H$17,6,FALSE)*'Service Pop and FTE est'!P32/12*$F15</f>
        <v>1328.2308333333335</v>
      </c>
      <c r="Q55" s="78">
        <f>VLOOKUP(Q$32,Wages!$C$6:$H$17,6,FALSE)*'Service Pop and FTE est'!Q32/12*$F15</f>
        <v>2258.1687499999998</v>
      </c>
      <c r="R55" s="100">
        <f>VLOOKUP(R$32,Wages!$C$6:$H$17,6,FALSE)*'Service Pop and FTE est'!R32/12*$F15</f>
        <v>2258.1687499999998</v>
      </c>
    </row>
    <row r="56" spans="3:18" x14ac:dyDescent="0.2">
      <c r="C56" s="94"/>
      <c r="D56" t="s">
        <v>45</v>
      </c>
      <c r="E56" s="78">
        <f>VLOOKUP(E$32,Wages!$C$5:$H$17,4,FALSE)*'Service Pop and FTE est'!E33/12*$F16</f>
        <v>0</v>
      </c>
      <c r="F56" s="78">
        <f>VLOOKUP(F$32,Wages!$C$5:$H$17,4,FALSE)*'Service Pop and FTE est'!F33/12*$F16</f>
        <v>0</v>
      </c>
      <c r="G56" s="78">
        <f>VLOOKUP(G$32,Wages!$C$5:$H$17,4,FALSE)*'Service Pop and FTE est'!G33/12*$F16</f>
        <v>0</v>
      </c>
      <c r="H56" s="78">
        <f>VLOOKUP(H$32,Wages!$C$5:$H$17,4,FALSE)*'Service Pop and FTE est'!H33/12*$F16</f>
        <v>0</v>
      </c>
      <c r="I56" s="78">
        <f>VLOOKUP(I$32,Wages!$C$5:$H$17,4,FALSE)*'Service Pop and FTE est'!I33/12*$F16</f>
        <v>0</v>
      </c>
      <c r="J56" s="78">
        <f>VLOOKUP(J$32,Wages!$C$5:$H$17,4,FALSE)*'Service Pop and FTE est'!J33/12*$F16</f>
        <v>0</v>
      </c>
      <c r="K56" s="78">
        <f>VLOOKUP(K$32,Wages!$C$5:$H$17,4,FALSE)*'Service Pop and FTE est'!K33/12*$F16</f>
        <v>0</v>
      </c>
      <c r="L56" s="78">
        <f>VLOOKUP(L$32,Wages!$C$5:$H$17,4,FALSE)*'Service Pop and FTE est'!L33/12*$F16</f>
        <v>0</v>
      </c>
      <c r="M56" s="78">
        <f>VLOOKUP(M$32,Wages!$C$5:$H$17,4,FALSE)*'Service Pop and FTE est'!M33/12*$F16</f>
        <v>0</v>
      </c>
      <c r="N56" s="78">
        <f>VLOOKUP(N$32,Wages!$C$5:$H$17,4,FALSE)*'Service Pop and FTE est'!N33/12*$F16</f>
        <v>0</v>
      </c>
      <c r="O56" s="78">
        <f>VLOOKUP(O$32,Wages!$C$5:$H$17,4,FALSE)*'Service Pop and FTE est'!O33/12*$F16</f>
        <v>0</v>
      </c>
      <c r="P56" s="78">
        <f>VLOOKUP(P$32,Wages!$C$5:$H$17,4,FALSE)*'Service Pop and FTE est'!P33/12*$F16</f>
        <v>0</v>
      </c>
      <c r="Q56" s="78">
        <f>VLOOKUP(Q$32,Wages!$C$5:$H$17,4,FALSE)*'Service Pop and FTE est'!Q33/12*$F16</f>
        <v>0</v>
      </c>
      <c r="R56" s="100">
        <f>VLOOKUP(R$32,Wages!$C$5:$H$17,4,FALSE)*'Service Pop and FTE est'!R33/12*$F16</f>
        <v>0</v>
      </c>
    </row>
    <row r="57" spans="3:18" x14ac:dyDescent="0.2">
      <c r="C57" s="94"/>
      <c r="D57" s="140" t="s">
        <v>200</v>
      </c>
      <c r="E57" s="141">
        <f>SUM(E49:E56)*0.3</f>
        <v>13526.970833333329</v>
      </c>
      <c r="F57" s="141">
        <f t="shared" ref="F57" si="2">SUM(F49:F56)*0.3</f>
        <v>6466.1433333333307</v>
      </c>
      <c r="G57" s="141">
        <f t="shared" ref="G57" si="3">SUM(G49:G56)*0.3</f>
        <v>11495.505416666665</v>
      </c>
      <c r="H57" s="141">
        <f t="shared" ref="H57" si="4">SUM(H49:H56)*0.3</f>
        <v>7933.9027083333312</v>
      </c>
      <c r="I57" s="141">
        <f t="shared" ref="I57" si="5">SUM(I49:I56)*0.3</f>
        <v>3493.2855208333326</v>
      </c>
      <c r="J57" s="141">
        <f t="shared" ref="J57" si="6">SUM(J49:J56)*0.3</f>
        <v>4973.49125</v>
      </c>
      <c r="K57" s="141">
        <f t="shared" ref="K57" si="7">SUM(K49:K56)*0.3</f>
        <v>9745.171875</v>
      </c>
      <c r="L57" s="141">
        <f t="shared" ref="L57" si="8">SUM(L49:L56)*0.3</f>
        <v>5015.5151249999999</v>
      </c>
      <c r="M57" s="141">
        <f t="shared" ref="M57" si="9">SUM(M49:M56)*0.3</f>
        <v>7059.8356249999988</v>
      </c>
      <c r="N57" s="141">
        <f t="shared" ref="N57" si="10">SUM(N49:N56)*0.3</f>
        <v>7544.9286249999986</v>
      </c>
      <c r="O57" s="141">
        <f t="shared" ref="O57" si="11">SUM(O49:O56)*0.3</f>
        <v>7501.6167499999992</v>
      </c>
      <c r="P57" s="141">
        <f t="shared" ref="P57" si="12">SUM(P49:P56)*0.3</f>
        <v>4201.251874999999</v>
      </c>
      <c r="Q57" s="141">
        <f t="shared" ref="Q57" si="13">SUM(Q49:Q56)*0.3</f>
        <v>7481.4112500000001</v>
      </c>
      <c r="R57" s="142">
        <f t="shared" ref="R57" si="14">SUM(R49:R56)*0.3</f>
        <v>6931.5962500000005</v>
      </c>
    </row>
    <row r="58" spans="3:18" ht="13.5" thickBot="1" x14ac:dyDescent="0.25">
      <c r="C58" s="102"/>
      <c r="D58" s="137" t="s">
        <v>202</v>
      </c>
      <c r="E58" s="138">
        <f>SUM(E49:E57)</f>
        <v>58616.873611111092</v>
      </c>
      <c r="F58" s="138">
        <f t="shared" ref="F58" si="15">SUM(F49:F57)</f>
        <v>28019.954444444433</v>
      </c>
      <c r="G58" s="138">
        <f t="shared" ref="G58" si="16">SUM(G49:G57)</f>
        <v>49813.856805555552</v>
      </c>
      <c r="H58" s="138">
        <f t="shared" ref="H58" si="17">SUM(H49:H57)</f>
        <v>34380.245069444441</v>
      </c>
      <c r="I58" s="138">
        <f t="shared" ref="I58" si="18">SUM(I49:I57)</f>
        <v>15137.570590277775</v>
      </c>
      <c r="J58" s="138">
        <f t="shared" ref="J58" si="19">SUM(J49:J57)</f>
        <v>21551.795416666668</v>
      </c>
      <c r="K58" s="138">
        <f t="shared" ref="K58" si="20">SUM(K49:K57)</f>
        <v>42229.078125</v>
      </c>
      <c r="L58" s="138">
        <f t="shared" ref="L58" si="21">SUM(L49:L57)</f>
        <v>21733.898874999999</v>
      </c>
      <c r="M58" s="138">
        <f t="shared" ref="M58" si="22">SUM(M49:M57)</f>
        <v>30592.621041666662</v>
      </c>
      <c r="N58" s="138">
        <f t="shared" ref="N58" si="23">SUM(N49:N57)</f>
        <v>32694.690708333328</v>
      </c>
      <c r="O58" s="138">
        <f t="shared" ref="O58" si="24">SUM(O49:O57)</f>
        <v>32507.005916666662</v>
      </c>
      <c r="P58" s="138">
        <f t="shared" ref="P58" si="25">SUM(P49:P57)</f>
        <v>18205.424791666665</v>
      </c>
      <c r="Q58" s="138">
        <f t="shared" ref="Q58" si="26">SUM(Q49:Q57)</f>
        <v>32419.448750000003</v>
      </c>
      <c r="R58" s="139">
        <f t="shared" ref="R58" si="27">SUM(R49:R57)</f>
        <v>30036.917083333334</v>
      </c>
    </row>
    <row r="60" spans="3:18" ht="13.5" thickBot="1" x14ac:dyDescent="0.25"/>
    <row r="61" spans="3:18" x14ac:dyDescent="0.2">
      <c r="C61" s="134" t="s">
        <v>189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5"/>
    </row>
    <row r="62" spans="3:18" ht="15" x14ac:dyDescent="0.25">
      <c r="C62" s="94"/>
      <c r="E62" s="129" t="s">
        <v>76</v>
      </c>
      <c r="F62" s="96" t="s">
        <v>77</v>
      </c>
      <c r="G62" s="97" t="s">
        <v>78</v>
      </c>
      <c r="H62" s="97" t="s">
        <v>79</v>
      </c>
      <c r="I62" s="130" t="s">
        <v>80</v>
      </c>
      <c r="J62" s="97" t="s">
        <v>81</v>
      </c>
      <c r="K62" s="98" t="s">
        <v>82</v>
      </c>
      <c r="L62" s="98" t="s">
        <v>83</v>
      </c>
      <c r="M62" s="98" t="s">
        <v>84</v>
      </c>
      <c r="N62" s="98" t="s">
        <v>84</v>
      </c>
      <c r="O62" s="98" t="s">
        <v>85</v>
      </c>
      <c r="P62" s="98" t="s">
        <v>86</v>
      </c>
      <c r="Q62" s="127" t="s">
        <v>87</v>
      </c>
      <c r="R62" s="135" t="s">
        <v>87</v>
      </c>
    </row>
    <row r="63" spans="3:18" x14ac:dyDescent="0.2">
      <c r="C63" s="94"/>
      <c r="D63" t="s">
        <v>18</v>
      </c>
      <c r="E63" s="78">
        <f>$G$9*('Service Pop and FTE est'!E$25)*('Per FTE cost'!C21/12)</f>
        <v>34960</v>
      </c>
      <c r="F63" s="78">
        <f>$G$9*('Service Pop and FTE est'!F$25)*('Per FTE cost'!D21/12)</f>
        <v>16569.583333333332</v>
      </c>
      <c r="G63" s="78">
        <f>$G$9*('Service Pop and FTE est'!G$25)*('Per FTE cost'!E21/12)</f>
        <v>30000.156250000004</v>
      </c>
      <c r="H63" s="78">
        <f>$G$9*('Service Pop and FTE est'!H$25)*('Per FTE cost'!F21/12)</f>
        <v>20396.145833333336</v>
      </c>
      <c r="I63" s="78">
        <f>$G$9*('Service Pop and FTE est'!I$25)*('Per FTE cost'!G21/12)</f>
        <v>3564.3750000000005</v>
      </c>
      <c r="J63" s="78">
        <f>$G$9*('Service Pop and FTE est'!J$25)*('Per FTE cost'!H21/12)</f>
        <v>12772.343750000002</v>
      </c>
      <c r="K63" s="78">
        <f>$G$9*('Service Pop and FTE est'!K$25)*('Per FTE cost'!I21/12)</f>
        <v>25045.562500000004</v>
      </c>
      <c r="L63" s="78">
        <f>$G$9*('Service Pop and FTE est'!L$25)*('Per FTE cost'!J21/12)</f>
        <v>12711.09375</v>
      </c>
      <c r="M63" s="78">
        <f>$G$9*('Service Pop and FTE est'!M$25)*('Per FTE cost'!K21/12)</f>
        <v>18737.09375</v>
      </c>
      <c r="N63" s="78">
        <f>$G$9*('Service Pop and FTE est'!N$25)*('Per FTE cost'!K21/12)</f>
        <v>19584.500000000004</v>
      </c>
      <c r="O63" s="78">
        <f>$G$9*('Service Pop and FTE est'!O$25)*('Per FTE cost'!L21/12)</f>
        <v>19302.03125</v>
      </c>
      <c r="P63" s="78">
        <f>$G$9*('Service Pop and FTE est'!P$25)*('Per FTE cost'!M21/12)</f>
        <v>11110.437500000002</v>
      </c>
      <c r="Q63" s="78">
        <f>$G$9*('Service Pop and FTE est'!Q$25)*('Per FTE cost'!N21/12)</f>
        <v>18569.0625</v>
      </c>
      <c r="R63" s="100">
        <f>$G$9*('Service Pop and FTE est'!R$25)*('Per FTE cost'!N21/12)</f>
        <v>17822.03125</v>
      </c>
    </row>
    <row r="64" spans="3:18" x14ac:dyDescent="0.2">
      <c r="C64" s="94"/>
      <c r="D64" t="s">
        <v>15</v>
      </c>
      <c r="E64" s="78">
        <f>$G$9*('Service Pop and FTE est'!E$25*'Service Pop and FTE est'!$E$38)*('Per FTE cost'!C22/12)</f>
        <v>8261.9999999999982</v>
      </c>
      <c r="F64" s="78">
        <f>$G$9*('Service Pop and FTE est'!F$25*'Service Pop and FTE est'!$E$38)*('Per FTE cost'!D22/12)</f>
        <v>3915.8437499999995</v>
      </c>
      <c r="G64" s="78">
        <f>$G$9*('Service Pop and FTE est'!G$25*'Service Pop and FTE est'!$E$38)*('Per FTE cost'!E22/12)</f>
        <v>6666</v>
      </c>
      <c r="H64" s="78">
        <f>$G$9*('Service Pop and FTE est'!H$25*'Service Pop and FTE est'!$E$38)*('Per FTE cost'!F22/12)</f>
        <v>4532</v>
      </c>
      <c r="I64" s="78">
        <f>$G$9*('Service Pop and FTE est'!I$25*'Service Pop and FTE est'!$E$38)*'Per FTE cost'!G22</f>
        <v>9504.0000000000018</v>
      </c>
      <c r="J64" s="78">
        <f>$G$9*('Service Pop and FTE est'!J$25*'Service Pop and FTE est'!$E$38)*('Per FTE cost'!H22/12)</f>
        <v>2838.0000000000005</v>
      </c>
      <c r="K64" s="78">
        <f>$G$9*('Service Pop and FTE est'!K$25*'Service Pop and FTE est'!$E$38)*('Per FTE cost'!I22/12)</f>
        <v>5802.9562500000002</v>
      </c>
      <c r="L64" s="78">
        <f>$G$9*('Service Pop and FTE est'!L$25*'Service Pop and FTE est'!$E$38)*('Per FTE cost'!J22/12)</f>
        <v>2945.109375</v>
      </c>
      <c r="M64" s="78">
        <f>$G$9*('Service Pop and FTE est'!M$25*'Service Pop and FTE est'!$E$38)*('Per FTE cost'!K22/12)</f>
        <v>4341.3093749999989</v>
      </c>
      <c r="N64" s="78">
        <f>$G$9*('Service Pop and FTE est'!N$25*'Service Pop and FTE est'!$E$38)*('Per FTE cost'!K22/12)</f>
        <v>4537.6500000000005</v>
      </c>
      <c r="O64" s="78">
        <f>$G$9*('Service Pop and FTE est'!O$25*'Service Pop and FTE est'!$E$38)*('Per FTE cost'!L22/12)</f>
        <v>4472.203125</v>
      </c>
      <c r="P64" s="78">
        <f>$G$9*('Service Pop and FTE est'!P$25*'Service Pop and FTE est'!$E$38)*('Per FTE cost'!M22/12)</f>
        <v>2574.2437500000005</v>
      </c>
      <c r="Q64" s="78">
        <f>$G$9*('Service Pop and FTE est'!Q$25*'Service Pop and FTE est'!$E$38)*('Per FTE cost'!N22/12)</f>
        <v>4322.8125</v>
      </c>
      <c r="R64" s="100">
        <f>$G$9*('Service Pop and FTE est'!R$25*'Service Pop and FTE est'!$E$38)*('Per FTE cost'!N22/12)</f>
        <v>4148.90625</v>
      </c>
    </row>
    <row r="65" spans="3:18" x14ac:dyDescent="0.2">
      <c r="C65" s="94"/>
      <c r="D65" t="s">
        <v>35</v>
      </c>
      <c r="E65" s="78">
        <f>VLOOKUP(E$32,Wages!$C$6:$H$17,5,FALSE)*'Service Pop and FTE est'!E28/12*$G11</f>
        <v>17266.780416666668</v>
      </c>
      <c r="F65" s="78">
        <f>VLOOKUP(F$32,Wages!$C$6:$H$17,5,FALSE)*'Service Pop and FTE est'!F28/12*$G11</f>
        <v>8169.2294444444442</v>
      </c>
      <c r="G65" s="78">
        <f>VLOOKUP(G$32,Wages!$C$6:$H$17,5,FALSE)*'Service Pop and FTE est'!G28/12*$G11</f>
        <v>14739.812743055554</v>
      </c>
      <c r="H65" s="78">
        <f>VLOOKUP(H$32,Wages!$C$6:$H$17,5,FALSE)*'Service Pop and FTE est'!H28/12*$G11</f>
        <v>10095.762152777776</v>
      </c>
      <c r="I65" s="78">
        <f>VLOOKUP(I$32,Wages!$C$6:$H$17,5,FALSE)*'Service Pop and FTE est'!I28/12*$G11</f>
        <v>2019.1524305555554</v>
      </c>
      <c r="J65" s="78">
        <f>VLOOKUP(J$32,Wages!$C$6:$H$17,5,FALSE)*'Service Pop and FTE est'!J28/12*$G11</f>
        <v>6259.3725347222226</v>
      </c>
      <c r="K65" s="78">
        <f>VLOOKUP(K$32,Wages!$C$6:$H$17,5,FALSE)*'Service Pop and FTE est'!K28/12*$G11</f>
        <v>12289.022666666668</v>
      </c>
      <c r="L65" s="78">
        <f>VLOOKUP(L$32,Wages!$C$6:$H$17,5,FALSE)*'Service Pop and FTE est'!L28/12*$G11</f>
        <v>6336.5273124999994</v>
      </c>
      <c r="M65" s="78">
        <f>VLOOKUP(M$32,Wages!$C$6:$H$17,5,FALSE)*'Service Pop and FTE est'!M28/12*$G11</f>
        <v>9216.7670000000016</v>
      </c>
      <c r="N65" s="78">
        <f>VLOOKUP(N$32,Wages!$C$6:$H$17,5,FALSE)*'Service Pop and FTE est'!N28/12*$G11</f>
        <v>9600.7989583333328</v>
      </c>
      <c r="O65" s="78">
        <f>VLOOKUP(O$32,Wages!$C$6:$H$17,5,FALSE)*'Service Pop and FTE est'!O28/12*$G11</f>
        <v>9408.7829791666682</v>
      </c>
      <c r="P65" s="78">
        <f>VLOOKUP(P$32,Wages!$C$6:$H$17,5,FALSE)*'Service Pop and FTE est'!P28/12*$G11</f>
        <v>5376.447416666666</v>
      </c>
      <c r="Q65" s="78">
        <f>VLOOKUP(Q$32,Wages!$C$6:$H$17,5,FALSE)*'Service Pop and FTE est'!Q28/12*$G11</f>
        <v>9140.6743750000005</v>
      </c>
      <c r="R65" s="100">
        <f>VLOOKUP(R$32,Wages!$C$6:$H$17,5,FALSE)*'Service Pop and FTE est'!R28/12*$G11</f>
        <v>8705.4041666666672</v>
      </c>
    </row>
    <row r="66" spans="3:18" x14ac:dyDescent="0.2">
      <c r="C66" s="94"/>
      <c r="D66" t="s">
        <v>37</v>
      </c>
      <c r="E66" s="78">
        <f>VLOOKUP(E$32,Wages!$C$6:$H$17,6,FALSE)*'Service Pop and FTE est'!E29/12*$G12</f>
        <v>10274.355555555556</v>
      </c>
      <c r="F66" s="78">
        <f>VLOOKUP(F$32,Wages!$C$6:$H$17,6,FALSE)*'Service Pop and FTE est'!F29/12*$G12</f>
        <v>4495.0305555555542</v>
      </c>
      <c r="G66" s="78">
        <f>VLOOKUP(G$32,Wages!$C$6:$H$17,6,FALSE)*'Service Pop and FTE est'!G29/12*$G12</f>
        <v>8380.241666666665</v>
      </c>
      <c r="H66" s="78">
        <f>VLOOKUP(H$32,Wages!$C$6:$H$17,6,FALSE)*'Service Pop and FTE est'!H29/12*$G12</f>
        <v>5586.8277777777776</v>
      </c>
      <c r="I66" s="78">
        <f>VLOOKUP(I$32,Wages!$C$6:$H$17,6,FALSE)*'Service Pop and FTE est'!I29/12*$G12</f>
        <v>3491.7673611111109</v>
      </c>
      <c r="J66" s="78">
        <f>VLOOKUP(J$32,Wages!$C$6:$H$17,6,FALSE)*'Service Pop and FTE est'!J29/12*$G12</f>
        <v>3491.7673611111109</v>
      </c>
      <c r="K66" s="78">
        <f>VLOOKUP(K$32,Wages!$C$6:$H$17,6,FALSE)*'Service Pop and FTE est'!K29/12*$G12</f>
        <v>7305.2695833333346</v>
      </c>
      <c r="L66" s="78">
        <f>VLOOKUP(L$32,Wages!$C$6:$H$17,6,FALSE)*'Service Pop and FTE est'!L29/12*$G12</f>
        <v>3984.6925000000006</v>
      </c>
      <c r="M66" s="78">
        <f>VLOOKUP(M$32,Wages!$C$6:$H$17,6,FALSE)*'Service Pop and FTE est'!M29/12*$G12</f>
        <v>5312.9233333333341</v>
      </c>
      <c r="N66" s="78">
        <f>VLOOKUP(N$32,Wages!$C$6:$H$17,6,FALSE)*'Service Pop and FTE est'!N29/12*$G12</f>
        <v>5312.9233333333341</v>
      </c>
      <c r="O66" s="78">
        <f>VLOOKUP(O$32,Wages!$C$6:$H$17,6,FALSE)*'Service Pop and FTE est'!O29/12*$G12</f>
        <v>5312.9233333333341</v>
      </c>
      <c r="P66" s="78">
        <f>VLOOKUP(P$32,Wages!$C$6:$H$17,6,FALSE)*'Service Pop and FTE est'!P29/12*$G12</f>
        <v>3320.5770833333336</v>
      </c>
      <c r="Q66" s="78">
        <f>VLOOKUP(Q$32,Wages!$C$6:$H$17,6,FALSE)*'Service Pop and FTE est'!Q29/12*$G12</f>
        <v>5269.0604166666662</v>
      </c>
      <c r="R66" s="100">
        <f>VLOOKUP(R$32,Wages!$C$6:$H$17,6,FALSE)*'Service Pop and FTE est'!R29/12*$G12</f>
        <v>5269.0604166666662</v>
      </c>
    </row>
    <row r="67" spans="3:18" x14ac:dyDescent="0.2">
      <c r="C67" s="94"/>
      <c r="D67" t="s">
        <v>39</v>
      </c>
      <c r="E67" s="78">
        <f>VLOOKUP(E$32,Wages!$C$6:$H$17,6,FALSE)*'Service Pop and FTE est'!E30/12*$G13</f>
        <v>8990.0611111111084</v>
      </c>
      <c r="F67" s="78">
        <f>VLOOKUP(F$32,Wages!$C$6:$H$17,6,FALSE)*'Service Pop and FTE est'!F30/12*$G13</f>
        <v>4495.0305555555542</v>
      </c>
      <c r="G67" s="78">
        <f>VLOOKUP(G$32,Wages!$C$6:$H$17,6,FALSE)*'Service Pop and FTE est'!G30/12*$G13</f>
        <v>7681.8881944444438</v>
      </c>
      <c r="H67" s="78">
        <f>VLOOKUP(H$32,Wages!$C$6:$H$17,6,FALSE)*'Service Pop and FTE est'!H30/12*$G13</f>
        <v>5586.8277777777776</v>
      </c>
      <c r="I67" s="78">
        <f>VLOOKUP(I$32,Wages!$C$6:$H$17,6,FALSE)*'Service Pop and FTE est'!I30/12*$G13</f>
        <v>3491.7673611111109</v>
      </c>
      <c r="J67" s="78">
        <f>VLOOKUP(J$32,Wages!$C$6:$H$17,6,FALSE)*'Service Pop and FTE est'!J30/12*$G13</f>
        <v>3491.7673611111109</v>
      </c>
      <c r="K67" s="78">
        <f>VLOOKUP(K$32,Wages!$C$6:$H$17,6,FALSE)*'Service Pop and FTE est'!K30/12*$G13</f>
        <v>6641.1541666666672</v>
      </c>
      <c r="L67" s="78">
        <f>VLOOKUP(L$32,Wages!$C$6:$H$17,6,FALSE)*'Service Pop and FTE est'!L30/12*$G13</f>
        <v>3320.5770833333336</v>
      </c>
      <c r="M67" s="78">
        <f>VLOOKUP(M$32,Wages!$C$6:$H$17,6,FALSE)*'Service Pop and FTE est'!M30/12*$G13</f>
        <v>4648.8079166666666</v>
      </c>
      <c r="N67" s="78">
        <f>VLOOKUP(N$32,Wages!$C$6:$H$17,6,FALSE)*'Service Pop and FTE est'!N30/12*$G13</f>
        <v>5312.9233333333341</v>
      </c>
      <c r="O67" s="78">
        <f>VLOOKUP(O$32,Wages!$C$6:$H$17,6,FALSE)*'Service Pop and FTE est'!O30/12*$G13</f>
        <v>5312.9233333333341</v>
      </c>
      <c r="P67" s="78">
        <f>VLOOKUP(P$32,Wages!$C$6:$H$17,6,FALSE)*'Service Pop and FTE est'!P30/12*$G13</f>
        <v>2656.461666666667</v>
      </c>
      <c r="Q67" s="78">
        <f>VLOOKUP(Q$32,Wages!$C$6:$H$17,6,FALSE)*'Service Pop and FTE est'!Q30/12*$G13</f>
        <v>5269.0604166666662</v>
      </c>
      <c r="R67" s="100">
        <f>VLOOKUP(R$32,Wages!$C$6:$H$17,6,FALSE)*'Service Pop and FTE est'!R30/12*$G13</f>
        <v>4516.3374999999996</v>
      </c>
    </row>
    <row r="68" spans="3:18" x14ac:dyDescent="0.2">
      <c r="C68" s="94"/>
      <c r="D68" t="s">
        <v>41</v>
      </c>
      <c r="E68" s="78">
        <f>VLOOKUP(E$32,Wages!$C$6:$H$17,6,FALSE)*'Service Pop and FTE est'!E31/12*$G14</f>
        <v>8990.0611111111084</v>
      </c>
      <c r="F68" s="78">
        <f>VLOOKUP(F$32,Wages!$C$6:$H$17,6,FALSE)*'Service Pop and FTE est'!F31/12*$G14</f>
        <v>4495.0305555555542</v>
      </c>
      <c r="G68" s="78">
        <f>VLOOKUP(G$32,Wages!$C$6:$H$17,6,FALSE)*'Service Pop and FTE est'!G31/12*$G14</f>
        <v>7681.8881944444438</v>
      </c>
      <c r="H68" s="78">
        <f>VLOOKUP(H$32,Wages!$C$6:$H$17,6,FALSE)*'Service Pop and FTE est'!H31/12*$G14</f>
        <v>5586.8277777777776</v>
      </c>
      <c r="I68" s="78">
        <f>VLOOKUP(I$32,Wages!$C$6:$H$17,6,FALSE)*'Service Pop and FTE est'!I31/12*$G14</f>
        <v>1745.8836805555554</v>
      </c>
      <c r="J68" s="78">
        <f>VLOOKUP(J$32,Wages!$C$6:$H$17,6,FALSE)*'Service Pop and FTE est'!J31/12*$G14</f>
        <v>3491.7673611111109</v>
      </c>
      <c r="K68" s="78">
        <f>VLOOKUP(K$32,Wages!$C$6:$H$17,6,FALSE)*'Service Pop and FTE est'!K31/12*$G14</f>
        <v>6641.1541666666672</v>
      </c>
      <c r="L68" s="78">
        <f>VLOOKUP(L$32,Wages!$C$6:$H$17,6,FALSE)*'Service Pop and FTE est'!L31/12*$G14</f>
        <v>3320.5770833333336</v>
      </c>
      <c r="M68" s="78">
        <f>VLOOKUP(M$32,Wages!$C$6:$H$17,6,FALSE)*'Service Pop and FTE est'!M31/12*$G14</f>
        <v>4648.8079166666666</v>
      </c>
      <c r="N68" s="78">
        <f>VLOOKUP(N$32,Wages!$C$6:$H$17,6,FALSE)*'Service Pop and FTE est'!N31/12*$G14</f>
        <v>5312.9233333333341</v>
      </c>
      <c r="O68" s="78">
        <f>VLOOKUP(O$32,Wages!$C$6:$H$17,6,FALSE)*'Service Pop and FTE est'!O31/12*$G14</f>
        <v>5312.9233333333341</v>
      </c>
      <c r="P68" s="78">
        <f>VLOOKUP(P$32,Wages!$C$6:$H$17,6,FALSE)*'Service Pop and FTE est'!P31/12*$G14</f>
        <v>2656.461666666667</v>
      </c>
      <c r="Q68" s="78">
        <f>VLOOKUP(Q$32,Wages!$C$6:$H$17,6,FALSE)*'Service Pop and FTE est'!Q31/12*$G14</f>
        <v>5269.0604166666662</v>
      </c>
      <c r="R68" s="100">
        <f>VLOOKUP(R$32,Wages!$C$6:$H$17,6,FALSE)*'Service Pop and FTE est'!R31/12*$G14</f>
        <v>4516.3374999999996</v>
      </c>
    </row>
    <row r="69" spans="3:18" x14ac:dyDescent="0.2">
      <c r="C69" s="94"/>
      <c r="D69" t="s">
        <v>43</v>
      </c>
      <c r="E69" s="78">
        <f>VLOOKUP(E$32,Wages!$C$6:$H$17,6,FALSE)*'Service Pop and FTE est'!E32/12*$G15</f>
        <v>3852.8833333333328</v>
      </c>
      <c r="F69" s="78">
        <f>VLOOKUP(F$32,Wages!$C$6:$H$17,6,FALSE)*'Service Pop and FTE est'!F32/12*$G15</f>
        <v>1926.4416666666664</v>
      </c>
      <c r="G69" s="78">
        <f>VLOOKUP(G$32,Wages!$C$6:$H$17,6,FALSE)*'Service Pop and FTE est'!G32/12*$G15</f>
        <v>3491.7673611111109</v>
      </c>
      <c r="H69" s="78">
        <f>VLOOKUP(H$32,Wages!$C$6:$H$17,6,FALSE)*'Service Pop and FTE est'!H32/12*$G15</f>
        <v>2095.0604166666662</v>
      </c>
      <c r="I69" s="78">
        <f>VLOOKUP(I$32,Wages!$C$6:$H$17,6,FALSE)*'Service Pop and FTE est'!I32/12*$G15</f>
        <v>1396.7069444444444</v>
      </c>
      <c r="J69" s="78">
        <f>VLOOKUP(J$32,Wages!$C$6:$H$17,6,FALSE)*'Service Pop and FTE est'!J32/12*$G15</f>
        <v>1396.7069444444444</v>
      </c>
      <c r="K69" s="78">
        <f>VLOOKUP(K$32,Wages!$C$6:$H$17,6,FALSE)*'Service Pop and FTE est'!K32/12*$G15</f>
        <v>2656.461666666667</v>
      </c>
      <c r="L69" s="78">
        <f>VLOOKUP(L$32,Wages!$C$6:$H$17,6,FALSE)*'Service Pop and FTE est'!L32/12*$G15</f>
        <v>1328.2308333333335</v>
      </c>
      <c r="M69" s="78">
        <f>VLOOKUP(M$32,Wages!$C$6:$H$17,6,FALSE)*'Service Pop and FTE est'!M32/12*$G15</f>
        <v>1992.3462500000003</v>
      </c>
      <c r="N69" s="78">
        <f>VLOOKUP(N$32,Wages!$C$6:$H$17,6,FALSE)*'Service Pop and FTE est'!N32/12*$G15</f>
        <v>1992.3462500000003</v>
      </c>
      <c r="O69" s="78">
        <f>VLOOKUP(O$32,Wages!$C$6:$H$17,6,FALSE)*'Service Pop and FTE est'!O32/12*$G15</f>
        <v>1992.3462500000003</v>
      </c>
      <c r="P69" s="78">
        <f>VLOOKUP(P$32,Wages!$C$6:$H$17,6,FALSE)*'Service Pop and FTE est'!P32/12*$G15</f>
        <v>1328.2308333333335</v>
      </c>
      <c r="Q69" s="78">
        <f>VLOOKUP(Q$32,Wages!$C$6:$H$17,6,FALSE)*'Service Pop and FTE est'!Q32/12*$G15</f>
        <v>2258.1687499999998</v>
      </c>
      <c r="R69" s="100">
        <f>VLOOKUP(R$32,Wages!$C$6:$H$17,6,FALSE)*'Service Pop and FTE est'!R32/12*$G15</f>
        <v>2258.1687499999998</v>
      </c>
    </row>
    <row r="70" spans="3:18" x14ac:dyDescent="0.2">
      <c r="C70" s="94"/>
      <c r="D70" t="s">
        <v>45</v>
      </c>
      <c r="E70" s="78">
        <f>VLOOKUP(E$32,Wages!$C$6:$H$17,4,FALSE)*'Service Pop and FTE est'!E33/12*$G16</f>
        <v>2908.0555555555552</v>
      </c>
      <c r="F70" s="78">
        <f>VLOOKUP(F$32,Wages!$C$6:$H$17,4,FALSE)*'Service Pop and FTE est'!F33/12*$G16</f>
        <v>1403.8888888888889</v>
      </c>
      <c r="G70" s="78">
        <f>VLOOKUP(G$32,Wages!$C$6:$H$17,4,FALSE)*'Service Pop and FTE est'!G33/12*$G16</f>
        <v>2419.7916666666665</v>
      </c>
      <c r="H70" s="78">
        <f>VLOOKUP(H$32,Wages!$C$6:$H$17,4,FALSE)*'Service Pop and FTE est'!H33/12*$G16</f>
        <v>1578.125</v>
      </c>
      <c r="I70" s="78">
        <f>VLOOKUP(I$32,Wages!$C$6:$H$17,4,FALSE)*'Service Pop and FTE est'!I33/12*$G16</f>
        <v>315.625</v>
      </c>
      <c r="J70" s="78">
        <f>VLOOKUP(J$32,Wages!$C$6:$H$17,4,FALSE)*'Service Pop and FTE est'!J33/12*$G16</f>
        <v>1052.0833333333333</v>
      </c>
      <c r="K70" s="78">
        <f>VLOOKUP(K$32,Wages!$C$6:$H$17,4,FALSE)*'Service Pop and FTE est'!K33/12*$G16</f>
        <v>2045</v>
      </c>
      <c r="L70" s="78">
        <f>VLOOKUP(L$32,Wages!$C$6:$H$17,4,FALSE)*'Service Pop and FTE est'!L33/12*$G16</f>
        <v>1022.5</v>
      </c>
      <c r="M70" s="78">
        <f>VLOOKUP(M$32,Wages!$C$6:$H$17,4,FALSE)*'Service Pop and FTE est'!M33/12*$G16</f>
        <v>1533.75</v>
      </c>
      <c r="N70" s="78">
        <f>VLOOKUP(N$32,Wages!$C$6:$H$17,4,FALSE)*'Service Pop and FTE est'!N33/12*$G16</f>
        <v>1636</v>
      </c>
      <c r="O70" s="78">
        <f>VLOOKUP(O$32,Wages!$C$6:$H$17,4,FALSE)*'Service Pop and FTE est'!O33/12*$G16</f>
        <v>1533.75</v>
      </c>
      <c r="P70" s="78">
        <f>VLOOKUP(P$32,Wages!$C$6:$H$17,4,FALSE)*'Service Pop and FTE est'!P33/12*$G16</f>
        <v>920.25</v>
      </c>
      <c r="Q70" s="78">
        <f>VLOOKUP(Q$32,Wages!$C$6:$H$17,4,FALSE)*'Service Pop and FTE est'!Q33/12*$G16</f>
        <v>1451.6666666666667</v>
      </c>
      <c r="R70" s="100">
        <f>VLOOKUP(R$32,Wages!$C$6:$H$17,4,FALSE)*'Service Pop and FTE est'!R33/12*$G16</f>
        <v>1451.6666666666667</v>
      </c>
    </row>
    <row r="71" spans="3:18" x14ac:dyDescent="0.2">
      <c r="C71" s="94"/>
      <c r="D71" s="140" t="s">
        <v>200</v>
      </c>
      <c r="E71" s="141">
        <f>SUM(E63:E70)*0.3</f>
        <v>28651.259125</v>
      </c>
      <c r="F71" s="141">
        <f t="shared" ref="F71" si="28">SUM(F63:F70)*0.3</f>
        <v>13641.023624999998</v>
      </c>
      <c r="G71" s="141">
        <f t="shared" ref="G71" si="29">SUM(G63:G70)*0.3</f>
        <v>24318.463822916663</v>
      </c>
      <c r="H71" s="141">
        <f t="shared" ref="H71" si="30">SUM(H63:H70)*0.3</f>
        <v>16637.273020833331</v>
      </c>
      <c r="I71" s="141">
        <f t="shared" ref="I71" si="31">SUM(I63:I70)*0.3</f>
        <v>7658.7833333333328</v>
      </c>
      <c r="J71" s="141">
        <f t="shared" ref="J71" si="32">SUM(J63:J70)*0.3</f>
        <v>10438.142593750001</v>
      </c>
      <c r="K71" s="141">
        <f t="shared" ref="K71" si="33">SUM(K63:K70)*0.3</f>
        <v>20527.974300000002</v>
      </c>
      <c r="L71" s="141">
        <f t="shared" ref="L71" si="34">SUM(L63:L70)*0.3</f>
        <v>10490.792381249999</v>
      </c>
      <c r="M71" s="141">
        <f t="shared" ref="M71" si="35">SUM(M63:M70)*0.3</f>
        <v>15129.541662499998</v>
      </c>
      <c r="N71" s="141">
        <f t="shared" ref="N71" si="36">SUM(N63:N70)*0.3</f>
        <v>15987.0195625</v>
      </c>
      <c r="O71" s="141">
        <f t="shared" ref="O71" si="37">SUM(O63:O70)*0.3</f>
        <v>15794.365081249998</v>
      </c>
      <c r="P71" s="141">
        <f t="shared" ref="P71" si="38">SUM(P63:P70)*0.3</f>
        <v>8982.9329749999997</v>
      </c>
      <c r="Q71" s="141">
        <f>SUM(Q63:Q70)*0.3</f>
        <v>15464.869812499999</v>
      </c>
      <c r="R71" s="142">
        <f>SUM(R63:R70)*0.3</f>
        <v>14606.373749999999</v>
      </c>
    </row>
    <row r="72" spans="3:18" ht="13.5" thickBot="1" x14ac:dyDescent="0.25">
      <c r="C72" s="102"/>
      <c r="D72" s="137" t="s">
        <v>235</v>
      </c>
      <c r="E72" s="138">
        <f>SUM(E63:E71)</f>
        <v>124155.45620833333</v>
      </c>
      <c r="F72" s="138">
        <f t="shared" ref="F72:R72" si="39">SUM(F63:F71)</f>
        <v>59111.102374999988</v>
      </c>
      <c r="G72" s="138">
        <f t="shared" si="39"/>
        <v>105380.00989930554</v>
      </c>
      <c r="H72" s="138">
        <f t="shared" si="39"/>
        <v>72094.84975694443</v>
      </c>
      <c r="I72" s="138">
        <f t="shared" si="39"/>
        <v>33188.061111111107</v>
      </c>
      <c r="J72" s="138">
        <f t="shared" si="39"/>
        <v>45231.951239583337</v>
      </c>
      <c r="K72" s="138">
        <f t="shared" si="39"/>
        <v>88954.555300000007</v>
      </c>
      <c r="L72" s="138">
        <f t="shared" si="39"/>
        <v>45460.100318750003</v>
      </c>
      <c r="M72" s="138">
        <f t="shared" si="39"/>
        <v>65561.347204166654</v>
      </c>
      <c r="N72" s="138">
        <f t="shared" si="39"/>
        <v>69277.084770833331</v>
      </c>
      <c r="O72" s="138">
        <f t="shared" si="39"/>
        <v>68442.248685416664</v>
      </c>
      <c r="P72" s="138">
        <f t="shared" si="39"/>
        <v>38926.042891666671</v>
      </c>
      <c r="Q72" s="138">
        <f>SUM(Q63:Q71)</f>
        <v>67014.435854166659</v>
      </c>
      <c r="R72" s="139">
        <f t="shared" si="39"/>
        <v>63294.286249999997</v>
      </c>
    </row>
  </sheetData>
  <mergeCells count="4">
    <mergeCell ref="D7:G7"/>
    <mergeCell ref="P20:Q20"/>
    <mergeCell ref="L20:O20"/>
    <mergeCell ref="D20:K20"/>
  </mergeCells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79D5-B218-40C2-874F-F3768E964203}">
  <sheetPr codeName="Sheet2"/>
  <dimension ref="B1:K71"/>
  <sheetViews>
    <sheetView zoomScale="145" zoomScaleNormal="145" workbookViewId="0">
      <selection activeCell="C28" sqref="C28:C34"/>
    </sheetView>
  </sheetViews>
  <sheetFormatPr defaultRowHeight="12.75" x14ac:dyDescent="0.2"/>
  <cols>
    <col min="1" max="1" width="11.140625" customWidth="1"/>
    <col min="2" max="2" width="37.140625" customWidth="1"/>
    <col min="3" max="3" width="23.140625" customWidth="1"/>
    <col min="4" max="4" width="32.140625" customWidth="1"/>
    <col min="5" max="5" width="12.5703125" customWidth="1"/>
    <col min="6" max="6" width="8.140625" customWidth="1"/>
    <col min="7" max="7" width="19" customWidth="1"/>
    <col min="8" max="8" width="14.7109375" customWidth="1"/>
    <col min="9" max="9" width="16" customWidth="1"/>
    <col min="10" max="10" width="17.85546875" customWidth="1"/>
    <col min="11" max="11" width="12" hidden="1" customWidth="1"/>
    <col min="13" max="13" width="5" customWidth="1"/>
  </cols>
  <sheetData>
    <row r="1" spans="2:10" ht="20.25" thickBot="1" x14ac:dyDescent="0.35">
      <c r="B1" s="172"/>
      <c r="C1" s="172"/>
      <c r="D1" s="172"/>
    </row>
    <row r="2" spans="2:10" ht="20.25" customHeight="1" thickTop="1" x14ac:dyDescent="0.2">
      <c r="B2" s="276" t="s">
        <v>211</v>
      </c>
      <c r="C2" s="277"/>
      <c r="D2" s="277"/>
    </row>
    <row r="3" spans="2:10" ht="14.45" customHeight="1" x14ac:dyDescent="0.2">
      <c r="B3" s="278"/>
      <c r="C3" s="278"/>
      <c r="D3" s="278"/>
      <c r="G3" s="1"/>
    </row>
    <row r="4" spans="2:10" ht="14.45" customHeight="1" x14ac:dyDescent="0.2"/>
    <row r="5" spans="2:10" ht="14.45" customHeight="1" x14ac:dyDescent="0.2"/>
    <row r="6" spans="2:10" ht="14.45" customHeight="1" x14ac:dyDescent="0.2"/>
    <row r="7" spans="2:10" ht="14.45" customHeight="1" x14ac:dyDescent="0.25">
      <c r="B7" s="272" t="s">
        <v>0</v>
      </c>
      <c r="C7" s="244"/>
      <c r="D7" s="244"/>
      <c r="E7" s="2"/>
      <c r="F7" s="2"/>
      <c r="G7" s="2"/>
      <c r="H7" s="3"/>
      <c r="I7" s="3"/>
      <c r="J7" s="3"/>
    </row>
    <row r="8" spans="2:10" ht="15.95" customHeight="1" x14ac:dyDescent="0.25">
      <c r="B8" s="4" t="s">
        <v>1</v>
      </c>
      <c r="C8" s="5" t="s">
        <v>2</v>
      </c>
      <c r="H8" s="3"/>
      <c r="I8" s="3"/>
      <c r="J8" s="3"/>
    </row>
    <row r="9" spans="2:10" ht="15" customHeight="1" x14ac:dyDescent="0.2">
      <c r="B9" s="6" t="s">
        <v>3</v>
      </c>
      <c r="C9" s="7">
        <v>0.2</v>
      </c>
    </row>
    <row r="10" spans="2:10" ht="15" customHeight="1" x14ac:dyDescent="0.2">
      <c r="B10" s="6" t="s">
        <v>4</v>
      </c>
      <c r="C10" s="7">
        <v>0.17</v>
      </c>
    </row>
    <row r="11" spans="2:10" ht="15" customHeight="1" x14ac:dyDescent="0.2">
      <c r="B11" s="6" t="s">
        <v>5</v>
      </c>
      <c r="C11" s="8">
        <v>1.4999999999999999E-2</v>
      </c>
    </row>
    <row r="12" spans="2:10" ht="15" customHeight="1" x14ac:dyDescent="0.2">
      <c r="C12" s="9"/>
    </row>
    <row r="13" spans="2:10" ht="15" customHeight="1" x14ac:dyDescent="0.25">
      <c r="B13" s="273" t="s">
        <v>6</v>
      </c>
      <c r="C13" s="273"/>
      <c r="D13" s="273"/>
    </row>
    <row r="14" spans="2:10" ht="15" customHeight="1" x14ac:dyDescent="0.25">
      <c r="B14" s="4" t="s">
        <v>7</v>
      </c>
      <c r="C14" s="5" t="s">
        <v>8</v>
      </c>
      <c r="D14" s="11" t="s">
        <v>9</v>
      </c>
    </row>
    <row r="15" spans="2:10" ht="15" customHeight="1" x14ac:dyDescent="0.2">
      <c r="B15" s="6" t="s">
        <v>10</v>
      </c>
      <c r="C15" s="12">
        <v>120</v>
      </c>
      <c r="D15" s="13">
        <f>C15/2080</f>
        <v>5.7692307692307696E-2</v>
      </c>
    </row>
    <row r="16" spans="2:10" ht="15" customHeight="1" x14ac:dyDescent="0.2">
      <c r="B16" s="6" t="s">
        <v>11</v>
      </c>
      <c r="C16" s="12">
        <v>88</v>
      </c>
      <c r="D16" s="13">
        <f t="shared" ref="D16:D17" si="0">C16/2080</f>
        <v>4.230769230769231E-2</v>
      </c>
    </row>
    <row r="17" spans="2:7" ht="15" customHeight="1" x14ac:dyDescent="0.2">
      <c r="B17" s="6" t="s">
        <v>12</v>
      </c>
      <c r="C17" s="12">
        <v>40</v>
      </c>
      <c r="D17" s="13">
        <f t="shared" si="0"/>
        <v>1.9230769230769232E-2</v>
      </c>
      <c r="F17" s="14"/>
      <c r="G17" s="1"/>
    </row>
    <row r="18" spans="2:7" x14ac:dyDescent="0.2">
      <c r="B18" s="6" t="s">
        <v>13</v>
      </c>
      <c r="C18" s="15">
        <f>3300+900</f>
        <v>4200</v>
      </c>
      <c r="D18" s="16"/>
    </row>
    <row r="21" spans="2:7" x14ac:dyDescent="0.2">
      <c r="C21" t="s">
        <v>14</v>
      </c>
    </row>
    <row r="22" spans="2:7" x14ac:dyDescent="0.2">
      <c r="B22" t="s">
        <v>15</v>
      </c>
      <c r="C22" s="17" t="s">
        <v>16</v>
      </c>
    </row>
    <row r="23" spans="2:7" x14ac:dyDescent="0.2">
      <c r="B23" t="s">
        <v>17</v>
      </c>
      <c r="C23" s="3">
        <v>0.5</v>
      </c>
    </row>
    <row r="24" spans="2:7" x14ac:dyDescent="0.2">
      <c r="B24" t="s">
        <v>18</v>
      </c>
      <c r="C24" s="18" t="s">
        <v>19</v>
      </c>
    </row>
    <row r="25" spans="2:7" ht="15.75" x14ac:dyDescent="0.25">
      <c r="B25" s="19"/>
      <c r="C25" s="19"/>
    </row>
    <row r="26" spans="2:7" ht="12.75" customHeight="1" x14ac:dyDescent="0.25">
      <c r="B26" s="274" t="s">
        <v>20</v>
      </c>
      <c r="C26" s="275"/>
    </row>
    <row r="27" spans="2:7" ht="4.5" customHeight="1" x14ac:dyDescent="0.2">
      <c r="B27" s="20"/>
      <c r="C27" s="21"/>
    </row>
    <row r="28" spans="2:7" ht="15" x14ac:dyDescent="0.25">
      <c r="B28" s="22" t="s">
        <v>21</v>
      </c>
      <c r="C28" s="23">
        <v>25</v>
      </c>
      <c r="D28" s="24"/>
      <c r="F28" s="25"/>
    </row>
    <row r="29" spans="2:7" ht="15" x14ac:dyDescent="0.25">
      <c r="B29" s="22" t="s">
        <v>22</v>
      </c>
      <c r="C29" s="23">
        <v>22.999999999999996</v>
      </c>
      <c r="D29" s="24"/>
      <c r="F29" s="25"/>
    </row>
    <row r="30" spans="2:7" ht="15" x14ac:dyDescent="0.25">
      <c r="B30" s="22" t="s">
        <v>23</v>
      </c>
      <c r="C30" s="26">
        <v>21</v>
      </c>
      <c r="D30" s="24"/>
      <c r="F30" s="25"/>
    </row>
    <row r="31" spans="2:7" ht="15" x14ac:dyDescent="0.25">
      <c r="B31" s="22" t="s">
        <v>24</v>
      </c>
      <c r="C31" s="26">
        <v>19</v>
      </c>
      <c r="D31" s="24"/>
      <c r="F31" s="25"/>
    </row>
    <row r="32" spans="2:7" ht="15" x14ac:dyDescent="0.25">
      <c r="B32" s="22" t="s">
        <v>25</v>
      </c>
      <c r="C32" s="26">
        <v>15</v>
      </c>
      <c r="D32" s="24"/>
      <c r="F32" s="25"/>
    </row>
    <row r="33" spans="2:6" x14ac:dyDescent="0.2">
      <c r="B33" s="22" t="s">
        <v>26</v>
      </c>
      <c r="C33" s="26">
        <v>14</v>
      </c>
      <c r="D33" s="27"/>
      <c r="F33" s="25"/>
    </row>
    <row r="34" spans="2:6" ht="15" x14ac:dyDescent="0.25">
      <c r="B34" s="22" t="s">
        <v>27</v>
      </c>
      <c r="C34" s="26">
        <v>12</v>
      </c>
      <c r="D34" s="24"/>
      <c r="F34" s="25"/>
    </row>
    <row r="35" spans="2:6" ht="6.75" customHeight="1" x14ac:dyDescent="0.2">
      <c r="B35" s="28"/>
      <c r="C35" s="3"/>
    </row>
    <row r="36" spans="2:6" ht="15" x14ac:dyDescent="0.25">
      <c r="B36" s="22" t="s">
        <v>28</v>
      </c>
      <c r="C36" s="29"/>
      <c r="D36" s="24"/>
    </row>
    <row r="37" spans="2:6" ht="15" x14ac:dyDescent="0.25">
      <c r="B37" s="22" t="s">
        <v>29</v>
      </c>
      <c r="C37" s="29"/>
      <c r="D37" s="24"/>
    </row>
    <row r="38" spans="2:6" ht="15" x14ac:dyDescent="0.25">
      <c r="B38" s="22" t="s">
        <v>30</v>
      </c>
      <c r="C38" s="29"/>
      <c r="D38" s="24"/>
    </row>
    <row r="39" spans="2:6" x14ac:dyDescent="0.2">
      <c r="B39" s="22" t="s">
        <v>31</v>
      </c>
      <c r="C39" s="29"/>
      <c r="D39" s="27"/>
    </row>
    <row r="40" spans="2:6" ht="15" x14ac:dyDescent="0.25">
      <c r="B40" s="22" t="s">
        <v>32</v>
      </c>
      <c r="C40" s="29"/>
      <c r="D40" s="24"/>
    </row>
    <row r="41" spans="2:6" x14ac:dyDescent="0.2">
      <c r="B41" s="22"/>
      <c r="C41" s="29"/>
    </row>
    <row r="42" spans="2:6" ht="15" x14ac:dyDescent="0.25">
      <c r="B42" s="30"/>
      <c r="C42" s="31" t="s">
        <v>33</v>
      </c>
      <c r="D42" s="32" t="s">
        <v>34</v>
      </c>
    </row>
    <row r="43" spans="2:6" x14ac:dyDescent="0.2">
      <c r="B43" s="33" t="s">
        <v>35</v>
      </c>
      <c r="C43" s="34">
        <v>6</v>
      </c>
      <c r="D43" s="35" t="s">
        <v>36</v>
      </c>
    </row>
    <row r="44" spans="2:6" x14ac:dyDescent="0.2">
      <c r="B44" s="33" t="s">
        <v>37</v>
      </c>
      <c r="C44" s="34">
        <v>6</v>
      </c>
      <c r="D44" s="36" t="s">
        <v>38</v>
      </c>
    </row>
    <row r="45" spans="2:6" x14ac:dyDescent="0.2">
      <c r="B45" s="33" t="s">
        <v>39</v>
      </c>
      <c r="C45" s="37">
        <v>0.05</v>
      </c>
      <c r="D45" s="35" t="s">
        <v>40</v>
      </c>
    </row>
    <row r="46" spans="2:6" x14ac:dyDescent="0.2">
      <c r="B46" s="33" t="s">
        <v>41</v>
      </c>
      <c r="C46" s="38">
        <v>0.05</v>
      </c>
      <c r="D46" s="35" t="s">
        <v>42</v>
      </c>
    </row>
    <row r="47" spans="2:6" x14ac:dyDescent="0.2">
      <c r="B47" s="33" t="s">
        <v>43</v>
      </c>
      <c r="C47" s="39">
        <v>2.5</v>
      </c>
      <c r="D47" s="36" t="s">
        <v>44</v>
      </c>
    </row>
    <row r="48" spans="2:6" x14ac:dyDescent="0.2">
      <c r="B48" s="40" t="s">
        <v>45</v>
      </c>
      <c r="C48" s="41">
        <v>10</v>
      </c>
      <c r="D48" s="42" t="s">
        <v>46</v>
      </c>
    </row>
    <row r="50" spans="2:5" x14ac:dyDescent="0.2">
      <c r="B50" s="43" t="s">
        <v>47</v>
      </c>
    </row>
    <row r="52" spans="2:5" x14ac:dyDescent="0.2">
      <c r="B52" s="44" t="s">
        <v>48</v>
      </c>
      <c r="C52" s="3">
        <v>45</v>
      </c>
      <c r="D52" s="17" t="s">
        <v>49</v>
      </c>
    </row>
    <row r="53" spans="2:5" x14ac:dyDescent="0.2">
      <c r="B53" s="44"/>
      <c r="C53" s="3">
        <v>2</v>
      </c>
      <c r="D53" s="17" t="s">
        <v>50</v>
      </c>
    </row>
    <row r="56" spans="2:5" ht="15.75" thickBot="1" x14ac:dyDescent="0.3">
      <c r="B56" s="10" t="s">
        <v>51</v>
      </c>
      <c r="E56" s="45"/>
    </row>
    <row r="57" spans="2:5" x14ac:dyDescent="0.2">
      <c r="B57" s="46" t="s">
        <v>52</v>
      </c>
      <c r="C57" s="47">
        <v>29.62</v>
      </c>
      <c r="D57" s="48" t="s">
        <v>53</v>
      </c>
    </row>
    <row r="58" spans="2:5" x14ac:dyDescent="0.2">
      <c r="B58" s="49" t="s">
        <v>54</v>
      </c>
      <c r="C58" s="50">
        <v>2.1</v>
      </c>
      <c r="D58" s="51" t="s">
        <v>55</v>
      </c>
    </row>
    <row r="59" spans="2:5" x14ac:dyDescent="0.2">
      <c r="B59" s="49" t="s">
        <v>56</v>
      </c>
      <c r="C59" s="52">
        <v>53</v>
      </c>
      <c r="D59" s="51" t="s">
        <v>57</v>
      </c>
    </row>
    <row r="60" spans="2:5" x14ac:dyDescent="0.2">
      <c r="B60" s="49"/>
      <c r="C60" s="50"/>
      <c r="D60" s="51"/>
    </row>
    <row r="61" spans="2:5" x14ac:dyDescent="0.2">
      <c r="B61" s="49" t="s">
        <v>58</v>
      </c>
      <c r="C61" s="53">
        <v>86</v>
      </c>
      <c r="D61" s="54" t="s">
        <v>57</v>
      </c>
    </row>
    <row r="62" spans="2:5" x14ac:dyDescent="0.2">
      <c r="B62" s="55" t="s">
        <v>59</v>
      </c>
      <c r="C62" s="53">
        <v>210</v>
      </c>
      <c r="D62" s="56" t="s">
        <v>60</v>
      </c>
    </row>
    <row r="63" spans="2:5" x14ac:dyDescent="0.2">
      <c r="B63" s="57" t="s">
        <v>61</v>
      </c>
      <c r="C63" s="53">
        <v>86</v>
      </c>
      <c r="D63" s="54" t="s">
        <v>62</v>
      </c>
    </row>
    <row r="64" spans="2:5" x14ac:dyDescent="0.2">
      <c r="B64" s="58" t="s">
        <v>63</v>
      </c>
      <c r="C64" s="53">
        <v>55</v>
      </c>
      <c r="D64" s="54" t="s">
        <v>57</v>
      </c>
    </row>
    <row r="65" spans="2:7" x14ac:dyDescent="0.2">
      <c r="B65" s="58" t="s">
        <v>64</v>
      </c>
      <c r="C65" s="53">
        <f>342/12</f>
        <v>28.5</v>
      </c>
      <c r="D65" s="54" t="s">
        <v>65</v>
      </c>
    </row>
    <row r="66" spans="2:7" x14ac:dyDescent="0.2">
      <c r="B66" s="58"/>
      <c r="C66" s="53"/>
      <c r="D66" s="54"/>
    </row>
    <row r="67" spans="2:7" ht="15.75" x14ac:dyDescent="0.25">
      <c r="B67" s="58" t="s">
        <v>66</v>
      </c>
      <c r="C67" s="59">
        <f>C17/2080</f>
        <v>1.9230769230769232E-2</v>
      </c>
      <c r="D67" s="54" t="s">
        <v>67</v>
      </c>
      <c r="F67" s="2"/>
      <c r="G67" s="2"/>
    </row>
    <row r="68" spans="2:7" x14ac:dyDescent="0.2">
      <c r="B68" s="55" t="s">
        <v>68</v>
      </c>
      <c r="C68" s="53">
        <v>250</v>
      </c>
      <c r="D68" s="54" t="s">
        <v>69</v>
      </c>
    </row>
    <row r="69" spans="2:7" x14ac:dyDescent="0.2">
      <c r="B69" s="60"/>
      <c r="C69" s="61"/>
      <c r="D69" s="62"/>
    </row>
    <row r="70" spans="2:7" ht="13.5" thickBot="1" x14ac:dyDescent="0.25">
      <c r="B70" s="63" t="s">
        <v>70</v>
      </c>
      <c r="C70" s="64">
        <v>7.0000000000000007E-2</v>
      </c>
      <c r="D70" s="65" t="s">
        <v>71</v>
      </c>
    </row>
    <row r="71" spans="2:7" x14ac:dyDescent="0.2">
      <c r="B71" s="17"/>
    </row>
  </sheetData>
  <mergeCells count="4">
    <mergeCell ref="B7:D7"/>
    <mergeCell ref="B13:D13"/>
    <mergeCell ref="B26:C26"/>
    <mergeCell ref="B2:D3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96C0-799B-45FA-85A9-1A8D785401A0}">
  <sheetPr codeName="Sheet3"/>
  <dimension ref="B1:R72"/>
  <sheetViews>
    <sheetView topLeftCell="A30" zoomScale="85" zoomScaleNormal="85" workbookViewId="0">
      <selection activeCell="C23" sqref="C23"/>
    </sheetView>
  </sheetViews>
  <sheetFormatPr defaultRowHeight="12.75" x14ac:dyDescent="0.2"/>
  <cols>
    <col min="1" max="1" width="6" customWidth="1"/>
    <col min="2" max="2" width="55.28515625" customWidth="1"/>
    <col min="3" max="3" width="23.140625" customWidth="1"/>
    <col min="4" max="4" width="20.42578125" customWidth="1"/>
    <col min="5" max="5" width="14.5703125" customWidth="1"/>
    <col min="6" max="6" width="14.85546875" customWidth="1"/>
    <col min="7" max="7" width="17" customWidth="1"/>
    <col min="8" max="8" width="18.85546875" customWidth="1"/>
    <col min="9" max="9" width="16" customWidth="1"/>
    <col min="10" max="10" width="12.140625" customWidth="1"/>
    <col min="11" max="11" width="16" customWidth="1"/>
    <col min="12" max="12" width="10.7109375" customWidth="1"/>
    <col min="13" max="13" width="10.5703125" customWidth="1"/>
    <col min="14" max="14" width="11.28515625" customWidth="1"/>
    <col min="15" max="15" width="14.140625" customWidth="1"/>
    <col min="16" max="16" width="11.42578125" customWidth="1"/>
  </cols>
  <sheetData>
    <row r="1" spans="2:10" ht="20.25" thickBot="1" x14ac:dyDescent="0.35">
      <c r="B1" s="279"/>
      <c r="C1" s="279"/>
      <c r="D1" s="279"/>
      <c r="E1" s="279"/>
      <c r="F1" s="279"/>
      <c r="G1" s="279"/>
      <c r="H1" s="279"/>
      <c r="I1" s="279"/>
      <c r="J1" s="279"/>
    </row>
    <row r="2" spans="2:10" ht="20.25" customHeight="1" thickTop="1" x14ac:dyDescent="0.2"/>
    <row r="3" spans="2:10" ht="14.45" customHeight="1" x14ac:dyDescent="0.2">
      <c r="I3" s="1"/>
    </row>
    <row r="4" spans="2:10" ht="15.75" customHeight="1" x14ac:dyDescent="0.2">
      <c r="C4" s="66" t="s">
        <v>72</v>
      </c>
    </row>
    <row r="5" spans="2:10" ht="15.75" customHeight="1" x14ac:dyDescent="0.2">
      <c r="B5" s="44" t="s">
        <v>18</v>
      </c>
      <c r="C5" s="67">
        <v>1</v>
      </c>
    </row>
    <row r="6" spans="2:10" ht="15.75" customHeight="1" x14ac:dyDescent="0.2">
      <c r="B6" s="68" t="s">
        <v>35</v>
      </c>
      <c r="C6" s="37">
        <f>'Per FTE cost'!C5/'Rate Assumption '!C43</f>
        <v>0.16666666666666666</v>
      </c>
    </row>
    <row r="7" spans="2:10" ht="15.75" customHeight="1" x14ac:dyDescent="0.2">
      <c r="C7" s="67"/>
    </row>
    <row r="8" spans="2:10" ht="15.75" customHeight="1" x14ac:dyDescent="0.2">
      <c r="B8" s="44" t="s">
        <v>15</v>
      </c>
      <c r="C8" s="67">
        <v>1</v>
      </c>
    </row>
    <row r="9" spans="2:10" ht="15.75" customHeight="1" x14ac:dyDescent="0.2">
      <c r="B9" s="68" t="s">
        <v>35</v>
      </c>
      <c r="C9" s="37">
        <f>C8/'Rate Assumption '!C43</f>
        <v>0.16666666666666666</v>
      </c>
    </row>
    <row r="10" spans="2:10" ht="15.75" customHeight="1" x14ac:dyDescent="0.2">
      <c r="B10" s="68"/>
      <c r="C10" s="67"/>
    </row>
    <row r="11" spans="2:10" ht="15.75" customHeight="1" x14ac:dyDescent="0.2">
      <c r="B11" s="68" t="s">
        <v>37</v>
      </c>
      <c r="C11" s="37">
        <f>(C9+C6)/'Rate Assumption '!C44</f>
        <v>5.5555555555555552E-2</v>
      </c>
    </row>
    <row r="12" spans="2:10" ht="15.75" customHeight="1" x14ac:dyDescent="0.2">
      <c r="B12" s="68" t="s">
        <v>43</v>
      </c>
      <c r="C12" s="37">
        <f>C11/'Rate Assumption '!C47</f>
        <v>2.222222222222222E-2</v>
      </c>
    </row>
    <row r="13" spans="2:10" ht="15.75" customHeight="1" x14ac:dyDescent="0.2">
      <c r="B13" s="68" t="s">
        <v>73</v>
      </c>
      <c r="C13" s="37">
        <f>ROUND(SUM(C5:C12)/'Rate Assumption '!C48,1)</f>
        <v>0.2</v>
      </c>
    </row>
    <row r="14" spans="2:10" ht="15.75" customHeight="1" x14ac:dyDescent="0.2">
      <c r="B14" s="44" t="s">
        <v>74</v>
      </c>
      <c r="C14" s="37">
        <v>0.05</v>
      </c>
    </row>
    <row r="15" spans="2:10" ht="15.75" customHeight="1" x14ac:dyDescent="0.2">
      <c r="B15" s="44" t="s">
        <v>75</v>
      </c>
      <c r="C15" s="69">
        <v>0.05</v>
      </c>
    </row>
    <row r="16" spans="2:10" ht="15.75" customHeight="1" x14ac:dyDescent="0.2">
      <c r="B16" s="68"/>
      <c r="C16" s="67"/>
    </row>
    <row r="17" spans="2:17" ht="15" x14ac:dyDescent="0.25">
      <c r="C17" s="107" t="s">
        <v>76</v>
      </c>
      <c r="D17" s="70" t="s">
        <v>77</v>
      </c>
      <c r="E17" s="71" t="s">
        <v>78</v>
      </c>
      <c r="F17" s="71" t="s">
        <v>79</v>
      </c>
      <c r="G17" s="71" t="s">
        <v>80</v>
      </c>
      <c r="H17" s="71" t="s">
        <v>81</v>
      </c>
      <c r="I17" s="72" t="s">
        <v>82</v>
      </c>
      <c r="J17" s="72" t="s">
        <v>83</v>
      </c>
      <c r="K17" s="72" t="s">
        <v>84</v>
      </c>
      <c r="L17" s="72" t="s">
        <v>85</v>
      </c>
      <c r="M17" s="72" t="s">
        <v>86</v>
      </c>
      <c r="N17" s="73" t="s">
        <v>87</v>
      </c>
      <c r="O17" s="74"/>
      <c r="P17" s="74"/>
    </row>
    <row r="19" spans="2:17" ht="9.75" customHeight="1" x14ac:dyDescent="0.2">
      <c r="B19" s="68"/>
      <c r="C19" s="37"/>
    </row>
    <row r="20" spans="2:17" ht="15" customHeight="1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7" x14ac:dyDescent="0.2">
      <c r="B21" s="76" t="s">
        <v>119</v>
      </c>
      <c r="C21" s="77">
        <f>VLOOKUP(C$17,'[8]Regionalized Costs'!$B$15:$E$26,2,FALSE)*$C$5</f>
        <v>58266.666666666664</v>
      </c>
      <c r="D21" s="77">
        <f>VLOOKUP(D$17,'[8]Regionalized Costs'!$B$15:$E$26,2,FALSE)*$C$5</f>
        <v>58266.666666666664</v>
      </c>
      <c r="E21" s="77">
        <f>VLOOKUP(E$17,'[8]Regionalized Costs'!$B$15:$E$26,2,FALSE)*$C$5</f>
        <v>63366.666666666664</v>
      </c>
      <c r="F21" s="77">
        <f>VLOOKUP(F$17,'[8]Regionalized Costs'!$B$15:$E$26,2,FALSE)*$C$5</f>
        <v>63366.666666666664</v>
      </c>
      <c r="G21" s="77">
        <f>VLOOKUP(G$17,'[8]Regionalized Costs'!$B$15:$E$26,2,FALSE)*$C$5</f>
        <v>63366.666666666664</v>
      </c>
      <c r="H21" s="77">
        <f>VLOOKUP(H$17,'[8]Regionalized Costs'!$B$15:$E$26,2,FALSE)*$C$5</f>
        <v>63366.666666666664</v>
      </c>
      <c r="I21" s="77">
        <f>VLOOKUP(I$17,'[8]Regionalized Costs'!$B$15:$E$26,2,FALSE)*$C$5</f>
        <v>60260</v>
      </c>
      <c r="J21" s="77">
        <f>VLOOKUP(J$17,'[8]Regionalized Costs'!$B$15:$E$26,2,FALSE)*$C$5</f>
        <v>60260</v>
      </c>
      <c r="K21" s="77">
        <f>VLOOKUP(K$17,'[8]Regionalized Costs'!$B$15:$E$26,2,FALSE)*$C$5</f>
        <v>60260</v>
      </c>
      <c r="L21" s="77">
        <f>VLOOKUP(L$17,'[8]Regionalized Costs'!$B$15:$E$26,2,FALSE)*$C$5</f>
        <v>60260</v>
      </c>
      <c r="M21" s="77">
        <f>VLOOKUP(M$17,'[8]Regionalized Costs'!$B$15:$E$26,2,FALSE)*$C$5</f>
        <v>60260</v>
      </c>
      <c r="N21" s="77">
        <f>VLOOKUP(N$17,'[8]Regionalized Costs'!$B$15:$E$26,2,FALSE)*$C$5</f>
        <v>68300</v>
      </c>
      <c r="O21" s="77"/>
      <c r="P21" s="77"/>
      <c r="Q21" s="78"/>
    </row>
    <row r="22" spans="2:17" x14ac:dyDescent="0.2">
      <c r="B22" s="76" t="s">
        <v>120</v>
      </c>
      <c r="C22" s="77">
        <f>VLOOKUP(C$17,'[8]Regionalized Costs'!$B$15:$E$26,3,FALSE)*$C$8</f>
        <v>45900</v>
      </c>
      <c r="D22" s="77">
        <f>VLOOKUP(D$17,'[8]Regionalized Costs'!$B$15:$E$26,3,FALSE)*$C$8</f>
        <v>45900</v>
      </c>
      <c r="E22" s="77">
        <f>VLOOKUP(E$17,'[8]Regionalized Costs'!$B$15:$E$26,3,FALSE)*$C$8</f>
        <v>46933.333333333336</v>
      </c>
      <c r="F22" s="77">
        <f>VLOOKUP(F$17,'[8]Regionalized Costs'!$B$15:$E$26,3,FALSE)*$C$8</f>
        <v>46933.333333333336</v>
      </c>
      <c r="G22" s="77">
        <f>VLOOKUP(G$17,'[8]Regionalized Costs'!$B$15:$E$26,3,FALSE)*$C$8</f>
        <v>46933.333333333336</v>
      </c>
      <c r="H22" s="77">
        <f>VLOOKUP(H$17,'[8]Regionalized Costs'!$B$15:$E$26,3,FALSE)*$C$8</f>
        <v>46933.333333333336</v>
      </c>
      <c r="I22" s="77">
        <f>VLOOKUP(I$17,'[8]Regionalized Costs'!$B$15:$E$26,3,FALSE)*$C$8</f>
        <v>46540</v>
      </c>
      <c r="J22" s="77">
        <f>VLOOKUP(J$17,'[8]Regionalized Costs'!$B$15:$E$26,3,FALSE)*$C$8</f>
        <v>46540</v>
      </c>
      <c r="K22" s="77">
        <f>VLOOKUP(K$17,'[8]Regionalized Costs'!$B$15:$E$26,3,FALSE)*$C$8</f>
        <v>46540</v>
      </c>
      <c r="L22" s="77">
        <f>VLOOKUP(L$17,'[8]Regionalized Costs'!$B$15:$E$26,3,FALSE)*$C$8</f>
        <v>46540</v>
      </c>
      <c r="M22" s="77">
        <f>VLOOKUP(M$17,'[8]Regionalized Costs'!$B$15:$E$26,3,FALSE)*$C$8</f>
        <v>46540</v>
      </c>
      <c r="N22" s="77">
        <f>VLOOKUP(N$17,'[8]Regionalized Costs'!$B$15:$E$26,3,FALSE)*$C$8</f>
        <v>53000</v>
      </c>
      <c r="O22" s="77"/>
      <c r="P22" s="77"/>
      <c r="Q22" s="78"/>
    </row>
    <row r="23" spans="2:17" x14ac:dyDescent="0.2">
      <c r="B23" s="79" t="s">
        <v>35</v>
      </c>
      <c r="C23" s="77">
        <f>VLOOKUP(C17,'[8]Regionalized Costs'!$B$15:$G$26,5,FALSE)*($C$6+$C$9)</f>
        <v>22335.555555555551</v>
      </c>
      <c r="D23" s="77">
        <f>VLOOKUP(D17,'[8]Regionalized Costs'!$B$15:$G$26,5,FALSE)*($C$6+$C$9)</f>
        <v>22335.555555555551</v>
      </c>
      <c r="E23" s="77">
        <f>VLOOKUP(E17,'[8]Regionalized Costs'!$B$15:$G$26,5,FALSE)*($C$6+$C$9)</f>
        <v>24290.555555555551</v>
      </c>
      <c r="F23" s="77">
        <f>VLOOKUP(F17,'[8]Regionalized Costs'!$B$15:$G$26,5,FALSE)*($C$6+$C$9)</f>
        <v>24290.555555555551</v>
      </c>
      <c r="G23" s="77">
        <f>VLOOKUP(G17,'[8]Regionalized Costs'!$B$15:$G$26,5,FALSE)*($C$6+$C$9)</f>
        <v>24290.555555555551</v>
      </c>
      <c r="H23" s="77">
        <f>VLOOKUP(H17,'[8]Regionalized Costs'!$B$15:$G$26,5,FALSE)*($C$6+$C$9)</f>
        <v>24290.555555555551</v>
      </c>
      <c r="I23" s="77">
        <f>VLOOKUP(I17,'[8]Regionalized Costs'!$B$15:$G$26,5,FALSE)*($C$6+$C$9)</f>
        <v>23099.666666666664</v>
      </c>
      <c r="J23" s="77">
        <f>VLOOKUP(J17,'[8]Regionalized Costs'!$B$15:$G$26,5,FALSE)*($C$6+$C$9)</f>
        <v>23099.666666666664</v>
      </c>
      <c r="K23" s="77">
        <f>VLOOKUP(K17,'[8]Regionalized Costs'!$B$15:$G$26,5,FALSE)*($C$6+$C$9)</f>
        <v>23099.666666666664</v>
      </c>
      <c r="L23" s="77">
        <f>VLOOKUP(L17,'[8]Regionalized Costs'!$B$15:$G$26,5,FALSE)*($C$6+$C$9)</f>
        <v>23099.666666666664</v>
      </c>
      <c r="M23" s="77">
        <f>VLOOKUP(M17,'[8]Regionalized Costs'!$B$15:$G$26,5,FALSE)*($C$6+$C$9)</f>
        <v>23099.666666666664</v>
      </c>
      <c r="N23" s="77">
        <f>VLOOKUP(N17,'[8]Regionalized Costs'!$B$15:$G$26,5,FALSE)*($C$6+$C$9)</f>
        <v>26181.666666666664</v>
      </c>
      <c r="O23" s="77"/>
      <c r="P23" s="77"/>
      <c r="Q23" s="78"/>
    </row>
    <row r="24" spans="2:17" x14ac:dyDescent="0.2">
      <c r="B24" s="79" t="s">
        <v>37</v>
      </c>
      <c r="C24" s="77">
        <f>VLOOKUP(C17,'[8]Regionalized Costs'!$B$15:$G$26,6,FALSE)*$C$11</f>
        <v>4280.9814814814808</v>
      </c>
      <c r="D24" s="77">
        <f>VLOOKUP(D17,'[8]Regionalized Costs'!$B$15:$G$26,6,FALSE)*$C$11</f>
        <v>4280.9814814814808</v>
      </c>
      <c r="E24" s="77">
        <f>VLOOKUP(E17,'[8]Regionalized Costs'!$B$15:$G$26,6,FALSE)*$C$11</f>
        <v>4655.6898148148139</v>
      </c>
      <c r="F24" s="77">
        <f>VLOOKUP(F17,'[8]Regionalized Costs'!$B$15:$G$26,6,FALSE)*$C$11</f>
        <v>4655.6898148148139</v>
      </c>
      <c r="G24" s="77">
        <f>VLOOKUP(G17,'[8]Regionalized Costs'!$B$15:$G$26,6,FALSE)*$C$11</f>
        <v>4655.6898148148139</v>
      </c>
      <c r="H24" s="77">
        <f>VLOOKUP(H17,'[8]Regionalized Costs'!$B$15:$G$26,6,FALSE)*$C$11</f>
        <v>4655.6898148148139</v>
      </c>
      <c r="I24" s="77">
        <f>VLOOKUP(I17,'[8]Regionalized Costs'!$B$15:$G$26,6,FALSE)*$C$11</f>
        <v>4427.4361111111111</v>
      </c>
      <c r="J24" s="77">
        <f>VLOOKUP(J17,'[8]Regionalized Costs'!$B$15:$G$26,6,FALSE)*$C$11</f>
        <v>4427.4361111111111</v>
      </c>
      <c r="K24" s="77">
        <f>VLOOKUP(K17,'[8]Regionalized Costs'!$B$15:$G$26,6,FALSE)*$C$11</f>
        <v>4427.4361111111111</v>
      </c>
      <c r="L24" s="77">
        <f>VLOOKUP(L17,'[8]Regionalized Costs'!$B$15:$G$26,6,FALSE)*$C$11</f>
        <v>4427.4361111111111</v>
      </c>
      <c r="M24" s="77">
        <f>VLOOKUP(M17,'[8]Regionalized Costs'!$B$15:$G$26,6,FALSE)*$C$11</f>
        <v>4427.4361111111111</v>
      </c>
      <c r="N24" s="77">
        <f>VLOOKUP(N17,'[8]Regionalized Costs'!$B$15:$G$26,6,FALSE)*$C$11</f>
        <v>5018.1527777777774</v>
      </c>
      <c r="O24" s="77"/>
      <c r="P24" s="77"/>
      <c r="Q24" s="78"/>
    </row>
    <row r="25" spans="2:17" x14ac:dyDescent="0.2">
      <c r="B25" s="33" t="s">
        <v>88</v>
      </c>
      <c r="C25" s="77">
        <f>VLOOKUP(C17,'[8]Regionalized Costs'!$B$15:$G$26,6,FALSE)*$C$14</f>
        <v>3852.8833333333332</v>
      </c>
      <c r="D25" s="77">
        <f>VLOOKUP(D17,'[8]Regionalized Costs'!$B$15:$G$26,6,FALSE)*$C$14</f>
        <v>3852.8833333333332</v>
      </c>
      <c r="E25" s="77">
        <f>VLOOKUP(E17,'[8]Regionalized Costs'!$B$15:$G$26,6,FALSE)*$C$14</f>
        <v>4190.1208333333334</v>
      </c>
      <c r="F25" s="77">
        <f>VLOOKUP(F17,'[8]Regionalized Costs'!$B$15:$G$26,6,FALSE)*$C$14</f>
        <v>4190.1208333333334</v>
      </c>
      <c r="G25" s="77">
        <f>VLOOKUP(G17,'[8]Regionalized Costs'!$B$15:$G$26,6,FALSE)*$C$14</f>
        <v>4190.1208333333334</v>
      </c>
      <c r="H25" s="77">
        <f>VLOOKUP(H17,'[8]Regionalized Costs'!$B$15:$G$26,6,FALSE)*$C$14</f>
        <v>4190.1208333333334</v>
      </c>
      <c r="I25" s="77">
        <f>VLOOKUP(I17,'[8]Regionalized Costs'!$B$15:$G$26,6,FALSE)*$C$14</f>
        <v>3984.6925000000006</v>
      </c>
      <c r="J25" s="77">
        <f>VLOOKUP(J17,'[8]Regionalized Costs'!$B$15:$G$26,6,FALSE)*$C$14</f>
        <v>3984.6925000000006</v>
      </c>
      <c r="K25" s="77">
        <f>VLOOKUP(K17,'[8]Regionalized Costs'!$B$15:$G$26,6,FALSE)*$C$14</f>
        <v>3984.6925000000006</v>
      </c>
      <c r="L25" s="77">
        <f>VLOOKUP(L17,'[8]Regionalized Costs'!$B$15:$G$26,6,FALSE)*$C$14</f>
        <v>3984.6925000000006</v>
      </c>
      <c r="M25" s="77">
        <f>VLOOKUP(M17,'[8]Regionalized Costs'!$B$15:$G$26,6,FALSE)*$C$14</f>
        <v>3984.6925000000006</v>
      </c>
      <c r="N25" s="77">
        <f>VLOOKUP(N17,'[8]Regionalized Costs'!$B$15:$G$26,6,FALSE)*$C$14</f>
        <v>4516.3375000000005</v>
      </c>
      <c r="O25" s="77"/>
      <c r="P25" s="77"/>
      <c r="Q25" s="77"/>
    </row>
    <row r="26" spans="2:17" x14ac:dyDescent="0.2">
      <c r="B26" s="80" t="s">
        <v>43</v>
      </c>
      <c r="C26" s="77">
        <f t="shared" ref="C26:N26" si="0">(C21*1.728)*$C$12</f>
        <v>2237.4399999999996</v>
      </c>
      <c r="D26" s="77">
        <f t="shared" si="0"/>
        <v>2237.4399999999996</v>
      </c>
      <c r="E26" s="77">
        <f t="shared" si="0"/>
        <v>2433.2799999999997</v>
      </c>
      <c r="F26" s="77">
        <f t="shared" si="0"/>
        <v>2433.2799999999997</v>
      </c>
      <c r="G26" s="77">
        <f t="shared" si="0"/>
        <v>2433.2799999999997</v>
      </c>
      <c r="H26" s="77">
        <f t="shared" si="0"/>
        <v>2433.2799999999997</v>
      </c>
      <c r="I26" s="77">
        <f t="shared" si="0"/>
        <v>2313.9839999999999</v>
      </c>
      <c r="J26" s="77">
        <f t="shared" si="0"/>
        <v>2313.9839999999999</v>
      </c>
      <c r="K26" s="77">
        <f t="shared" si="0"/>
        <v>2313.9839999999999</v>
      </c>
      <c r="L26" s="77">
        <f t="shared" si="0"/>
        <v>2313.9839999999999</v>
      </c>
      <c r="M26" s="77">
        <f t="shared" si="0"/>
        <v>2313.9839999999999</v>
      </c>
      <c r="N26" s="77">
        <f t="shared" si="0"/>
        <v>2622.7199999999993</v>
      </c>
      <c r="O26" s="77"/>
      <c r="P26" s="77"/>
      <c r="Q26" s="78"/>
    </row>
    <row r="27" spans="2:17" x14ac:dyDescent="0.2">
      <c r="B27" s="80" t="s">
        <v>73</v>
      </c>
      <c r="C27" s="77">
        <f>VLOOKUP(C$17,'[8]Regionalized Costs'!$B$15:$E$26,4,FALSE)*$C$13</f>
        <v>9626.6666666666679</v>
      </c>
      <c r="D27" s="77">
        <f>VLOOKUP(D$17,'[8]Regionalized Costs'!$B$15:$E$26,4,FALSE)*$C$13</f>
        <v>9626.6666666666679</v>
      </c>
      <c r="E27" s="77">
        <f>VLOOKUP(E$17,'[8]Regionalized Costs'!$B$15:$E$26,4,FALSE)*$C$13</f>
        <v>10100</v>
      </c>
      <c r="F27" s="77">
        <f>VLOOKUP(F$17,'[8]Regionalized Costs'!$B$15:$E$26,4,FALSE)*$C$13</f>
        <v>10100</v>
      </c>
      <c r="G27" s="77">
        <f>VLOOKUP(G$17,'[8]Regionalized Costs'!$B$15:$E$26,4,FALSE)*$C$13</f>
        <v>10100</v>
      </c>
      <c r="H27" s="77">
        <f>VLOOKUP(H$17,'[8]Regionalized Costs'!$B$15:$E$26,4,FALSE)*$C$13</f>
        <v>10100</v>
      </c>
      <c r="I27" s="77">
        <f>VLOOKUP(I$17,'[8]Regionalized Costs'!$B$15:$E$26,4,FALSE)*$C$13</f>
        <v>9816</v>
      </c>
      <c r="J27" s="77">
        <f>VLOOKUP(J$17,'[8]Regionalized Costs'!$B$15:$E$26,4,FALSE)*$C$13</f>
        <v>9816</v>
      </c>
      <c r="K27" s="77">
        <f>VLOOKUP(K$17,'[8]Regionalized Costs'!$B$15:$E$26,4,FALSE)*$C$13</f>
        <v>9816</v>
      </c>
      <c r="L27" s="77">
        <f>VLOOKUP(L$17,'[8]Regionalized Costs'!$B$15:$E$26,4,FALSE)*$C$13</f>
        <v>9816</v>
      </c>
      <c r="M27" s="77">
        <f>VLOOKUP(M$17,'[8]Regionalized Costs'!$B$15:$E$26,4,FALSE)*$C$13</f>
        <v>9816</v>
      </c>
      <c r="N27" s="77">
        <f>VLOOKUP(N$17,'[8]Regionalized Costs'!$B$15:$E$26,4,FALSE)*$C$13</f>
        <v>10720</v>
      </c>
      <c r="O27" s="77"/>
      <c r="P27" s="77"/>
      <c r="Q27" s="78"/>
    </row>
    <row r="28" spans="2:17" x14ac:dyDescent="0.2">
      <c r="B28" s="44" t="s">
        <v>75</v>
      </c>
      <c r="C28" s="77">
        <f t="shared" ref="C28:N28" si="1">$C$15*C21</f>
        <v>2913.3333333333335</v>
      </c>
      <c r="D28" s="77">
        <f t="shared" si="1"/>
        <v>2913.3333333333335</v>
      </c>
      <c r="E28" s="77">
        <f t="shared" si="1"/>
        <v>3168.3333333333335</v>
      </c>
      <c r="F28" s="77">
        <f t="shared" si="1"/>
        <v>3168.3333333333335</v>
      </c>
      <c r="G28" s="77">
        <f t="shared" si="1"/>
        <v>3168.3333333333335</v>
      </c>
      <c r="H28" s="77">
        <f t="shared" si="1"/>
        <v>3168.3333333333335</v>
      </c>
      <c r="I28" s="77">
        <f t="shared" si="1"/>
        <v>3013</v>
      </c>
      <c r="J28" s="77">
        <f t="shared" si="1"/>
        <v>3013</v>
      </c>
      <c r="K28" s="77">
        <f t="shared" si="1"/>
        <v>3013</v>
      </c>
      <c r="L28" s="77">
        <f t="shared" si="1"/>
        <v>3013</v>
      </c>
      <c r="M28" s="77">
        <f t="shared" si="1"/>
        <v>3013</v>
      </c>
      <c r="N28" s="77">
        <f t="shared" si="1"/>
        <v>3415</v>
      </c>
      <c r="O28" s="77"/>
    </row>
    <row r="29" spans="2:17" x14ac:dyDescent="0.2">
      <c r="Q29" s="78"/>
    </row>
    <row r="30" spans="2:17" x14ac:dyDescent="0.2">
      <c r="B30" s="81" t="s">
        <v>89</v>
      </c>
      <c r="C30" s="82">
        <f t="shared" ref="C30:N30" si="2">SUM(C21:C29)</f>
        <v>149413.52703703701</v>
      </c>
      <c r="D30" s="82">
        <f t="shared" si="2"/>
        <v>149413.52703703701</v>
      </c>
      <c r="E30" s="82">
        <f t="shared" si="2"/>
        <v>159137.97953703703</v>
      </c>
      <c r="F30" s="82">
        <f t="shared" si="2"/>
        <v>159137.97953703703</v>
      </c>
      <c r="G30" s="82">
        <f t="shared" si="2"/>
        <v>159137.97953703703</v>
      </c>
      <c r="H30" s="82">
        <f t="shared" si="2"/>
        <v>159137.97953703703</v>
      </c>
      <c r="I30" s="82">
        <f t="shared" si="2"/>
        <v>153454.77927777776</v>
      </c>
      <c r="J30" s="82">
        <f t="shared" si="2"/>
        <v>153454.77927777776</v>
      </c>
      <c r="K30" s="82">
        <f t="shared" si="2"/>
        <v>153454.77927777776</v>
      </c>
      <c r="L30" s="82">
        <f t="shared" si="2"/>
        <v>153454.77927777776</v>
      </c>
      <c r="M30" s="82">
        <f t="shared" si="2"/>
        <v>153454.77927777776</v>
      </c>
      <c r="N30" s="82">
        <f t="shared" si="2"/>
        <v>173773.87694444443</v>
      </c>
      <c r="O30" s="82"/>
      <c r="P30" s="82"/>
      <c r="Q30" s="78"/>
    </row>
    <row r="31" spans="2:17" x14ac:dyDescent="0.2"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78"/>
    </row>
    <row r="32" spans="2:17" x14ac:dyDescent="0.2">
      <c r="B32" s="44" t="s">
        <v>48</v>
      </c>
      <c r="C32" s="82">
        <f>('Rate Assumption '!$C$53*('Rate Assumption '!$C$52/60)/2080)*C21*18.4</f>
        <v>773.15384615384608</v>
      </c>
      <c r="D32" s="82">
        <f>('Rate Assumption '!$C$53*('Rate Assumption '!$C$52/60)/2080)*D21*18.4</f>
        <v>773.15384615384608</v>
      </c>
      <c r="E32" s="82">
        <f>('Rate Assumption '!$C$53*('Rate Assumption '!$C$52/60)/2080)*E21*18.4</f>
        <v>840.82692307692309</v>
      </c>
      <c r="F32" s="82">
        <f>('Rate Assumption '!$C$53*('Rate Assumption '!$C$52/60)/2080)*F21*18.4</f>
        <v>840.82692307692309</v>
      </c>
      <c r="G32" s="82">
        <f>('Rate Assumption '!$C$53*('Rate Assumption '!$C$52/60)/2080)*G21*18.4</f>
        <v>840.82692307692309</v>
      </c>
      <c r="H32" s="82">
        <f>('Rate Assumption '!$C$53*('Rate Assumption '!$C$52/60)/2080)*H21*18.4</f>
        <v>840.82692307692309</v>
      </c>
      <c r="I32" s="82">
        <f>('Rate Assumption '!$C$53*('Rate Assumption '!$C$52/60)/2080)*I21*18.4</f>
        <v>799.60384615384612</v>
      </c>
      <c r="J32" s="82">
        <f>('Rate Assumption '!$C$53*('Rate Assumption '!$C$52/60)/2080)*J21*18.4</f>
        <v>799.60384615384612</v>
      </c>
      <c r="K32" s="82">
        <f>('Rate Assumption '!$C$53*('Rate Assumption '!$C$52/60)/2080)*K21*18.4</f>
        <v>799.60384615384612</v>
      </c>
      <c r="L32" s="82">
        <f>('Rate Assumption '!$C$53*('Rate Assumption '!$C$52/60)/2080)*L21*18.4</f>
        <v>799.60384615384612</v>
      </c>
      <c r="M32" s="82">
        <f>('Rate Assumption '!$C$53*('Rate Assumption '!$C$52/60)/2080)*M21*18.4</f>
        <v>799.60384615384612</v>
      </c>
      <c r="N32" s="82">
        <f>('Rate Assumption '!$C$53*('Rate Assumption '!$C$52/60)/2080)*N21*18.4</f>
        <v>906.28846153846143</v>
      </c>
      <c r="O32" s="82"/>
      <c r="P32" s="82"/>
      <c r="Q32" s="78"/>
    </row>
    <row r="33" spans="2:6" x14ac:dyDescent="0.2">
      <c r="B33" s="17"/>
      <c r="C33" s="83"/>
    </row>
    <row r="35" spans="2:6" ht="13.5" thickBot="1" x14ac:dyDescent="0.25">
      <c r="C35" s="66" t="s">
        <v>90</v>
      </c>
      <c r="D35" s="84"/>
    </row>
    <row r="36" spans="2:6" x14ac:dyDescent="0.2">
      <c r="B36" s="46" t="s">
        <v>52</v>
      </c>
      <c r="C36" s="53">
        <f>SUM(C5:C15)*100*'Rate Assumption '!C57</f>
        <v>8030.3111111111102</v>
      </c>
      <c r="E36" s="45"/>
      <c r="F36" s="45"/>
    </row>
    <row r="37" spans="2:6" x14ac:dyDescent="0.2">
      <c r="B37" s="49" t="s">
        <v>54</v>
      </c>
      <c r="C37" s="53">
        <f>'Rate Assumption '!C58*SUM('Per FTE cost'!C5:C15)*100*12</f>
        <v>6832</v>
      </c>
    </row>
    <row r="38" spans="2:6" x14ac:dyDescent="0.2">
      <c r="B38" s="49" t="s">
        <v>56</v>
      </c>
      <c r="C38" s="53">
        <f>'Rate Assumption '!C59*SUM(C5:C15)*12</f>
        <v>1724.2666666666664</v>
      </c>
    </row>
    <row r="39" spans="2:6" x14ac:dyDescent="0.2">
      <c r="B39" s="49"/>
      <c r="C39" s="53"/>
    </row>
    <row r="40" spans="2:6" x14ac:dyDescent="0.2">
      <c r="B40" s="49" t="s">
        <v>58</v>
      </c>
      <c r="C40" s="53">
        <f>'Rate Assumption '!C61*SUM(C5:C15)*12</f>
        <v>2797.8666666666663</v>
      </c>
      <c r="E40" s="17" t="s">
        <v>201</v>
      </c>
    </row>
    <row r="41" spans="2:6" x14ac:dyDescent="0.2">
      <c r="B41" s="55" t="s">
        <v>59</v>
      </c>
      <c r="C41" s="53">
        <f>'Rate Assumption '!C62*(SUM(C5:C15))</f>
        <v>569.33333333333326</v>
      </c>
    </row>
    <row r="42" spans="2:6" x14ac:dyDescent="0.2">
      <c r="B42" s="57" t="s">
        <v>61</v>
      </c>
      <c r="C42" s="53">
        <f>'Rate Assumption '!C63*SUM($C$5:$C$14)*12</f>
        <v>2746.2666666666664</v>
      </c>
    </row>
    <row r="43" spans="2:6" x14ac:dyDescent="0.2">
      <c r="B43" s="58" t="s">
        <v>63</v>
      </c>
      <c r="C43" s="53">
        <f>'Rate Assumption '!C64*SUM($C$5:$C$15)*12</f>
        <v>1789.333333333333</v>
      </c>
    </row>
    <row r="44" spans="2:6" x14ac:dyDescent="0.2">
      <c r="B44" s="58" t="s">
        <v>91</v>
      </c>
      <c r="C44" s="53">
        <f>12*'Rate Assumption '!C65</f>
        <v>342</v>
      </c>
    </row>
    <row r="45" spans="2:6" x14ac:dyDescent="0.2">
      <c r="B45" s="58"/>
      <c r="C45" s="53"/>
    </row>
    <row r="46" spans="2:6" x14ac:dyDescent="0.2">
      <c r="B46" s="58" t="s">
        <v>66</v>
      </c>
      <c r="C46" s="53">
        <f>(C21+C22+C23+C28+C24)*'Rate Assumption '!C67</f>
        <v>2571.0872507122504</v>
      </c>
    </row>
    <row r="47" spans="2:6" x14ac:dyDescent="0.2">
      <c r="B47" s="55" t="s">
        <v>68</v>
      </c>
      <c r="C47" s="53">
        <f>'Rate Assumption '!C68*('Per FTE cost'!C5+'Per FTE cost'!C8)</f>
        <v>500</v>
      </c>
    </row>
    <row r="48" spans="2:6" x14ac:dyDescent="0.2">
      <c r="B48" s="60"/>
      <c r="C48" s="61"/>
    </row>
    <row r="49" spans="2:18" ht="13.5" thickBot="1" x14ac:dyDescent="0.25">
      <c r="B49" s="85" t="s">
        <v>92</v>
      </c>
      <c r="C49" s="53">
        <f>SUM(C21:C27)*'Rate Assumption '!C70</f>
        <v>10255.013559259258</v>
      </c>
    </row>
    <row r="50" spans="2:18" ht="15" x14ac:dyDescent="0.25">
      <c r="B50" s="86" t="s">
        <v>93</v>
      </c>
      <c r="C50" s="87">
        <f>SUM(C36:C49)</f>
        <v>38157.478587749283</v>
      </c>
    </row>
    <row r="51" spans="2:18" ht="15.75" x14ac:dyDescent="0.25">
      <c r="G51" s="2"/>
      <c r="H51" s="2"/>
      <c r="I51" s="2"/>
    </row>
    <row r="52" spans="2:18" x14ac:dyDescent="0.2">
      <c r="B52" s="88" t="s">
        <v>94</v>
      </c>
      <c r="C52" s="89">
        <f>SUM(C56:C58,$C$50,C30)*0.05*'Rate Assumption '!$C$9</f>
        <v>2136.8902499515671</v>
      </c>
      <c r="D52" s="89">
        <f>SUM(D56:D58,$C$50,D30)*0.05*'Rate Assumption '!$C$9</f>
        <v>2136.8902499515671</v>
      </c>
      <c r="E52" s="89">
        <f>SUM(E56:E58,$C$50,E30)*0.05*'Rate Assumption '!$C$9</f>
        <v>2243.8592274515672</v>
      </c>
      <c r="F52" s="89">
        <f>SUM(F56:F58,$C$50,F30)*0.05*'Rate Assumption '!$C$9</f>
        <v>2243.8592274515672</v>
      </c>
      <c r="G52" s="89">
        <f>SUM(G56:G58,$C$50,G30)*0.05*'Rate Assumption '!$C$9</f>
        <v>2243.8592274515672</v>
      </c>
      <c r="H52" s="89">
        <f>SUM(H56:H58,$C$50,H30)*0.05*'Rate Assumption '!$C$9</f>
        <v>2243.8592274515672</v>
      </c>
      <c r="I52" s="89">
        <f>SUM(I56:I58,$C$50,I30)*0.05*'Rate Assumption '!$C$9</f>
        <v>2181.3440245997149</v>
      </c>
      <c r="J52" s="89">
        <f>SUM(J56:J58,$C$50,J30)*0.05*'Rate Assumption '!$C$9</f>
        <v>2181.3440245997149</v>
      </c>
      <c r="K52" s="89">
        <f>SUM(K56:K58,$C$50,K30)*0.05*'Rate Assumption '!$C$9</f>
        <v>2181.3440245997149</v>
      </c>
      <c r="L52" s="89">
        <f>SUM(L56:L58,$C$50,L30)*0.05*'Rate Assumption '!$C$9</f>
        <v>2181.3440245997149</v>
      </c>
      <c r="M52" s="89">
        <f>SUM(M56:M58,$C$50,M30)*0.05*'Rate Assumption '!$C$9</f>
        <v>2181.3440245997149</v>
      </c>
      <c r="N52" s="89">
        <f>SUM(N56:N58,$C$50,N30)*0.05*'Rate Assumption '!$C$9</f>
        <v>2404.8540989330486</v>
      </c>
    </row>
    <row r="53" spans="2:18" x14ac:dyDescent="0.2">
      <c r="B53" s="6" t="s">
        <v>4</v>
      </c>
      <c r="C53" s="83">
        <f>C30*'Rate Assumption '!$C$10</f>
        <v>25400.299596296292</v>
      </c>
      <c r="D53" s="83">
        <f>D30*'Rate Assumption '!$C$10</f>
        <v>25400.299596296292</v>
      </c>
      <c r="E53" s="83">
        <f>E30*'Rate Assumption '!$C$10</f>
        <v>27053.456521296295</v>
      </c>
      <c r="F53" s="83">
        <f>F30*'Rate Assumption '!$C$10</f>
        <v>27053.456521296295</v>
      </c>
      <c r="G53" s="83">
        <f>G30*'Rate Assumption '!$C$10</f>
        <v>27053.456521296295</v>
      </c>
      <c r="H53" s="83">
        <f>H30*'Rate Assumption '!$C$10</f>
        <v>27053.456521296295</v>
      </c>
      <c r="I53" s="83">
        <f>I30*'Rate Assumption '!$C$10</f>
        <v>26087.312477222222</v>
      </c>
      <c r="J53" s="83">
        <f>J30*'Rate Assumption '!$C$10</f>
        <v>26087.312477222222</v>
      </c>
      <c r="K53" s="83">
        <f>K30*'Rate Assumption '!$C$10</f>
        <v>26087.312477222222</v>
      </c>
      <c r="L53" s="83">
        <f>L30*'Rate Assumption '!$C$10</f>
        <v>26087.312477222222</v>
      </c>
      <c r="M53" s="83">
        <f>M30*'Rate Assumption '!$C$10</f>
        <v>26087.312477222222</v>
      </c>
      <c r="N53" s="83">
        <f>N30*'Rate Assumption '!$C$10</f>
        <v>29541.559080555555</v>
      </c>
    </row>
    <row r="54" spans="2:18" x14ac:dyDescent="0.2">
      <c r="B54" s="6" t="s">
        <v>5</v>
      </c>
      <c r="C54" s="90">
        <f>SUM($C$50,C56:C58,C30)*'Rate Assumption '!$C$11</f>
        <v>3205.3353749273501</v>
      </c>
      <c r="D54" s="90">
        <f>SUM($C$50,D56:D58,D30)*'Rate Assumption '!$C$11</f>
        <v>3205.3353749273501</v>
      </c>
      <c r="E54" s="90">
        <f>SUM($C$50,E56:E58,E30)*'Rate Assumption '!$C$11</f>
        <v>3365.7888411773502</v>
      </c>
      <c r="F54" s="90">
        <f>SUM($C$50,F56:F58,F30)*'Rate Assumption '!$C$11</f>
        <v>3365.7888411773502</v>
      </c>
      <c r="G54" s="90">
        <f>SUM($C$50,G56:G58,G30)*'Rate Assumption '!$C$11</f>
        <v>3365.7888411773502</v>
      </c>
      <c r="H54" s="90">
        <f>SUM($C$50,H56:H58,H30)*'Rate Assumption '!$C$11</f>
        <v>3365.7888411773502</v>
      </c>
      <c r="I54" s="90">
        <f>SUM($C$50,I56:I58,I30)*'Rate Assumption '!$C$11</f>
        <v>3272.0160368995721</v>
      </c>
      <c r="J54" s="90">
        <f>SUM($C$50,J56:J58,J30)*'Rate Assumption '!$C$11</f>
        <v>3272.0160368995721</v>
      </c>
      <c r="K54" s="90">
        <f>SUM($C$50,K56:K58,K30)*'Rate Assumption '!$C$11</f>
        <v>3272.0160368995721</v>
      </c>
      <c r="L54" s="90">
        <f>SUM($C$50,L56:L58,L30)*'Rate Assumption '!$C$11</f>
        <v>3272.0160368995721</v>
      </c>
      <c r="M54" s="90">
        <f>SUM($C$50,M56:M58,M30)*'Rate Assumption '!$C$11</f>
        <v>3272.0160368995721</v>
      </c>
      <c r="N54" s="90">
        <f>SUM($C$50,N56:N58,N30)*'Rate Assumption '!$C$11</f>
        <v>3607.281148399572</v>
      </c>
    </row>
    <row r="55" spans="2:18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8" x14ac:dyDescent="0.2">
      <c r="B56" t="s">
        <v>95</v>
      </c>
      <c r="C56" s="89">
        <f>SUM($C$5:$C$14)*'Rate Assumption '!$C$18</f>
        <v>11176.666666666666</v>
      </c>
      <c r="D56" s="89">
        <f>C56</f>
        <v>11176.666666666666</v>
      </c>
      <c r="E56" s="89">
        <f t="shared" ref="E56:N56" si="3">D56</f>
        <v>11176.666666666666</v>
      </c>
      <c r="F56" s="89">
        <f t="shared" si="3"/>
        <v>11176.666666666666</v>
      </c>
      <c r="G56" s="89">
        <f t="shared" si="3"/>
        <v>11176.666666666666</v>
      </c>
      <c r="H56" s="89">
        <f t="shared" si="3"/>
        <v>11176.666666666666</v>
      </c>
      <c r="I56" s="89">
        <f t="shared" si="3"/>
        <v>11176.666666666666</v>
      </c>
      <c r="J56" s="89">
        <f t="shared" si="3"/>
        <v>11176.666666666666</v>
      </c>
      <c r="K56" s="89">
        <f t="shared" si="3"/>
        <v>11176.666666666666</v>
      </c>
      <c r="L56" s="89">
        <f t="shared" si="3"/>
        <v>11176.666666666666</v>
      </c>
      <c r="M56" s="89">
        <f t="shared" si="3"/>
        <v>11176.666666666666</v>
      </c>
      <c r="N56" s="89">
        <f t="shared" si="3"/>
        <v>11176.666666666666</v>
      </c>
    </row>
    <row r="57" spans="2:18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8" x14ac:dyDescent="0.2">
      <c r="B58" s="191" t="s">
        <v>96</v>
      </c>
      <c r="C58" s="192">
        <f>SUM(C21:C28)*('Rate Assumption '!$D$15+'Rate Assumption '!$D$16)</f>
        <v>14941.352703703702</v>
      </c>
      <c r="D58" s="192">
        <f>SUM(D21:D28)*('Rate Assumption '!$D$15+'Rate Assumption '!$D$16)</f>
        <v>14941.352703703702</v>
      </c>
      <c r="E58" s="192">
        <f>SUM(E21:E28)*('Rate Assumption '!$D$15+'Rate Assumption '!$D$16)</f>
        <v>15913.797953703703</v>
      </c>
      <c r="F58" s="192">
        <f>SUM(F21:F28)*('Rate Assumption '!$D$15+'Rate Assumption '!$D$16)</f>
        <v>15913.797953703703</v>
      </c>
      <c r="G58" s="192">
        <f>SUM(G21:G28)*('Rate Assumption '!$D$15+'Rate Assumption '!$D$16)</f>
        <v>15913.797953703703</v>
      </c>
      <c r="H58" s="192">
        <f>SUM(H21:H28)*('Rate Assumption '!$D$15+'Rate Assumption '!$D$16)</f>
        <v>15913.797953703703</v>
      </c>
      <c r="I58" s="192">
        <f>SUM(I21:I28)*('Rate Assumption '!$D$15+'Rate Assumption '!$D$16)</f>
        <v>15345.477927777778</v>
      </c>
      <c r="J58" s="192">
        <f>SUM(J21:J28)*('Rate Assumption '!$D$15+'Rate Assumption '!$D$16)</f>
        <v>15345.477927777778</v>
      </c>
      <c r="K58" s="192">
        <f>SUM(K21:K28)*('Rate Assumption '!$D$15+'Rate Assumption '!$D$16)</f>
        <v>15345.477927777778</v>
      </c>
      <c r="L58" s="192">
        <f>SUM(L21:L28)*('Rate Assumption '!$D$15+'Rate Assumption '!$D$16)</f>
        <v>15345.477927777778</v>
      </c>
      <c r="M58" s="192">
        <f>SUM(M21:M28)*('Rate Assumption '!$D$15+'Rate Assumption '!$D$16)</f>
        <v>15345.477927777778</v>
      </c>
      <c r="N58" s="192">
        <f>SUM(N21:N28)*('Rate Assumption '!$D$15+'Rate Assumption '!$D$16)</f>
        <v>17377.387694444446</v>
      </c>
    </row>
    <row r="59" spans="2:18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8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8" x14ac:dyDescent="0.2">
      <c r="B61" s="143" t="s">
        <v>97</v>
      </c>
      <c r="C61" s="82">
        <f t="shared" ref="C61:N61" si="4">C21+C32+((SUM(C23:C28)+$C$50+C56+C58+SUM(C52:C54))*0.5)</f>
        <v>129172.26228765311</v>
      </c>
      <c r="D61" s="82">
        <f t="shared" si="4"/>
        <v>129172.26228765311</v>
      </c>
      <c r="E61" s="82">
        <f t="shared" si="4"/>
        <v>137582.00725728454</v>
      </c>
      <c r="F61" s="82">
        <f t="shared" si="4"/>
        <v>137582.00725728454</v>
      </c>
      <c r="G61" s="82">
        <f t="shared" si="4"/>
        <v>137582.00725728454</v>
      </c>
      <c r="H61" s="82">
        <f t="shared" si="4"/>
        <v>137582.00725728454</v>
      </c>
      <c r="I61" s="82">
        <f t="shared" si="4"/>
        <v>132497.14134550036</v>
      </c>
      <c r="J61" s="82">
        <f t="shared" si="4"/>
        <v>132497.14134550036</v>
      </c>
      <c r="K61" s="82">
        <f t="shared" si="4"/>
        <v>132497.14134550036</v>
      </c>
      <c r="L61" s="82">
        <f t="shared" si="4"/>
        <v>132497.14134550036</v>
      </c>
      <c r="M61" s="82">
        <f t="shared" si="4"/>
        <v>132497.14134550036</v>
      </c>
      <c r="N61" s="82">
        <f t="shared" si="4"/>
        <v>146575.840572135</v>
      </c>
      <c r="O61" s="77"/>
      <c r="P61" s="77"/>
      <c r="Q61" s="77"/>
      <c r="R61" s="92"/>
    </row>
    <row r="62" spans="2:18" x14ac:dyDescent="0.2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8"/>
    </row>
    <row r="63" spans="2:18" x14ac:dyDescent="0.2">
      <c r="B63" s="143" t="s">
        <v>98</v>
      </c>
      <c r="C63" s="82">
        <f t="shared" ref="C63:N63" si="5">C22+(SUM(C23:C28)+$C$50+C56+C58+SUM(C52:C54))*0.5</f>
        <v>116032.44177483261</v>
      </c>
      <c r="D63" s="82">
        <f t="shared" si="5"/>
        <v>116032.44177483261</v>
      </c>
      <c r="E63" s="82">
        <f t="shared" si="5"/>
        <v>120307.84700087429</v>
      </c>
      <c r="F63" s="82">
        <f t="shared" si="5"/>
        <v>120307.84700087429</v>
      </c>
      <c r="G63" s="82">
        <f t="shared" si="5"/>
        <v>120307.84700087429</v>
      </c>
      <c r="H63" s="82">
        <f t="shared" si="5"/>
        <v>120307.84700087429</v>
      </c>
      <c r="I63" s="82">
        <f t="shared" si="5"/>
        <v>117977.53749934651</v>
      </c>
      <c r="J63" s="82">
        <f t="shared" si="5"/>
        <v>117977.53749934651</v>
      </c>
      <c r="K63" s="82">
        <f t="shared" si="5"/>
        <v>117977.53749934651</v>
      </c>
      <c r="L63" s="82">
        <f t="shared" si="5"/>
        <v>117977.53749934651</v>
      </c>
      <c r="M63" s="82">
        <f t="shared" si="5"/>
        <v>117977.53749934651</v>
      </c>
      <c r="N63" s="82">
        <f t="shared" si="5"/>
        <v>130369.55211059652</v>
      </c>
      <c r="O63" s="77"/>
      <c r="P63" s="77"/>
      <c r="Q63" s="77"/>
      <c r="R63" s="92"/>
    </row>
    <row r="64" spans="2:18" x14ac:dyDescent="0.2">
      <c r="B64" s="1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7" x14ac:dyDescent="0.2">
      <c r="B65" s="91" t="s">
        <v>99</v>
      </c>
      <c r="C65" s="83">
        <f t="shared" ref="C65:M65" si="6">C63/2080</f>
        <v>55.78482777636183</v>
      </c>
      <c r="D65" s="83">
        <f t="shared" si="6"/>
        <v>55.78482777636183</v>
      </c>
      <c r="E65" s="83">
        <f t="shared" si="6"/>
        <v>57.84031105811264</v>
      </c>
      <c r="F65" s="83">
        <f t="shared" si="6"/>
        <v>57.84031105811264</v>
      </c>
      <c r="G65" s="83">
        <f t="shared" si="6"/>
        <v>57.84031105811264</v>
      </c>
      <c r="H65" s="83">
        <f t="shared" si="6"/>
        <v>57.84031105811264</v>
      </c>
      <c r="I65" s="83">
        <f t="shared" si="6"/>
        <v>56.719969951608896</v>
      </c>
      <c r="J65" s="83">
        <f t="shared" si="6"/>
        <v>56.719969951608896</v>
      </c>
      <c r="K65" s="83">
        <f t="shared" si="6"/>
        <v>56.719969951608896</v>
      </c>
      <c r="L65" s="83">
        <f t="shared" si="6"/>
        <v>56.719969951608896</v>
      </c>
      <c r="M65" s="83">
        <f t="shared" si="6"/>
        <v>56.719969951608896</v>
      </c>
      <c r="N65" s="83">
        <f>N63/2080</f>
        <v>62.677669283940631</v>
      </c>
      <c r="O65" s="92"/>
      <c r="P65" s="92"/>
      <c r="Q65" s="92"/>
    </row>
    <row r="66" spans="2:17" x14ac:dyDescent="0.2">
      <c r="B66" s="17"/>
      <c r="C66" s="17"/>
    </row>
    <row r="67" spans="2:17" x14ac:dyDescent="0.2">
      <c r="B67" s="17"/>
      <c r="C67" s="14"/>
    </row>
    <row r="68" spans="2:17" x14ac:dyDescent="0.2">
      <c r="B68" s="17"/>
    </row>
    <row r="69" spans="2:17" x14ac:dyDescent="0.2">
      <c r="B69" s="17"/>
    </row>
    <row r="70" spans="2:17" x14ac:dyDescent="0.2">
      <c r="B70" s="17"/>
    </row>
    <row r="71" spans="2:17" x14ac:dyDescent="0.2">
      <c r="B71" s="17"/>
    </row>
    <row r="72" spans="2:17" x14ac:dyDescent="0.2">
      <c r="B72" s="17"/>
    </row>
  </sheetData>
  <mergeCells count="1">
    <mergeCell ref="B1:J1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DAEE-947D-481A-97AF-C384E9A80E34}">
  <dimension ref="C5:H24"/>
  <sheetViews>
    <sheetView workbookViewId="0">
      <selection activeCell="C6" sqref="C6:E17"/>
    </sheetView>
  </sheetViews>
  <sheetFormatPr defaultRowHeight="12.75" x14ac:dyDescent="0.2"/>
  <cols>
    <col min="3" max="9" width="34.85546875" customWidth="1"/>
  </cols>
  <sheetData>
    <row r="5" spans="3:8" ht="30" x14ac:dyDescent="0.25">
      <c r="C5" s="106"/>
      <c r="D5" s="201" t="s">
        <v>226</v>
      </c>
      <c r="E5" s="201" t="s">
        <v>227</v>
      </c>
      <c r="F5" s="201" t="s">
        <v>228</v>
      </c>
      <c r="G5" s="105" t="s">
        <v>35</v>
      </c>
      <c r="H5" s="105" t="s">
        <v>229</v>
      </c>
    </row>
    <row r="6" spans="3:8" x14ac:dyDescent="0.2">
      <c r="C6" s="70" t="s">
        <v>76</v>
      </c>
      <c r="D6" s="202">
        <v>58266.666666666664</v>
      </c>
      <c r="E6" s="202">
        <v>45900</v>
      </c>
      <c r="F6" s="202">
        <v>48133.333333333336</v>
      </c>
      <c r="G6" s="90">
        <f t="shared" ref="G6:G17" si="0">D6*$G$21+D6</f>
        <v>67006.666666666657</v>
      </c>
      <c r="H6" s="90">
        <f t="shared" ref="H6:H17" si="1">G6*$G$21+G6</f>
        <v>77057.666666666657</v>
      </c>
    </row>
    <row r="7" spans="3:8" x14ac:dyDescent="0.2">
      <c r="C7" s="70" t="s">
        <v>77</v>
      </c>
      <c r="D7" s="202">
        <v>58266.666666666664</v>
      </c>
      <c r="E7" s="202">
        <v>45900</v>
      </c>
      <c r="F7" s="202">
        <v>48133.333333333336</v>
      </c>
      <c r="G7" s="90">
        <f t="shared" si="0"/>
        <v>67006.666666666657</v>
      </c>
      <c r="H7" s="90">
        <f t="shared" si="1"/>
        <v>77057.666666666657</v>
      </c>
    </row>
    <row r="8" spans="3:8" x14ac:dyDescent="0.2">
      <c r="C8" s="71" t="s">
        <v>78</v>
      </c>
      <c r="D8" s="202">
        <v>63366.666666666664</v>
      </c>
      <c r="E8" s="202">
        <v>46933.333333333336</v>
      </c>
      <c r="F8" s="202">
        <v>50500</v>
      </c>
      <c r="G8" s="90">
        <f t="shared" si="0"/>
        <v>72871.666666666657</v>
      </c>
      <c r="H8" s="90">
        <f t="shared" si="1"/>
        <v>83802.416666666657</v>
      </c>
    </row>
    <row r="9" spans="3:8" x14ac:dyDescent="0.2">
      <c r="C9" s="71" t="s">
        <v>79</v>
      </c>
      <c r="D9" s="202">
        <v>63366.666666666664</v>
      </c>
      <c r="E9" s="202">
        <v>46933.333333333336</v>
      </c>
      <c r="F9" s="202">
        <v>50500</v>
      </c>
      <c r="G9" s="90">
        <f t="shared" si="0"/>
        <v>72871.666666666657</v>
      </c>
      <c r="H9" s="90">
        <f t="shared" si="1"/>
        <v>83802.416666666657</v>
      </c>
    </row>
    <row r="10" spans="3:8" x14ac:dyDescent="0.2">
      <c r="C10" s="71" t="s">
        <v>80</v>
      </c>
      <c r="D10" s="202">
        <v>63366.666666666664</v>
      </c>
      <c r="E10" s="202">
        <v>46933.333333333336</v>
      </c>
      <c r="F10" s="202">
        <v>50500</v>
      </c>
      <c r="G10" s="90">
        <f t="shared" si="0"/>
        <v>72871.666666666657</v>
      </c>
      <c r="H10" s="90">
        <f t="shared" si="1"/>
        <v>83802.416666666657</v>
      </c>
    </row>
    <row r="11" spans="3:8" x14ac:dyDescent="0.2">
      <c r="C11" s="71" t="s">
        <v>81</v>
      </c>
      <c r="D11" s="202">
        <v>63366.666666666664</v>
      </c>
      <c r="E11" s="202">
        <v>46933.333333333336</v>
      </c>
      <c r="F11" s="202">
        <v>50500</v>
      </c>
      <c r="G11" s="90">
        <f t="shared" si="0"/>
        <v>72871.666666666657</v>
      </c>
      <c r="H11" s="90">
        <f t="shared" si="1"/>
        <v>83802.416666666657</v>
      </c>
    </row>
    <row r="12" spans="3:8" x14ac:dyDescent="0.2">
      <c r="C12" s="72" t="s">
        <v>82</v>
      </c>
      <c r="D12" s="202">
        <v>60260</v>
      </c>
      <c r="E12" s="202">
        <v>46540</v>
      </c>
      <c r="F12" s="202">
        <v>49080</v>
      </c>
      <c r="G12" s="90">
        <f t="shared" si="0"/>
        <v>69299</v>
      </c>
      <c r="H12" s="90">
        <f t="shared" si="1"/>
        <v>79693.850000000006</v>
      </c>
    </row>
    <row r="13" spans="3:8" x14ac:dyDescent="0.2">
      <c r="C13" s="72" t="s">
        <v>83</v>
      </c>
      <c r="D13" s="202">
        <v>60260</v>
      </c>
      <c r="E13" s="202">
        <v>46540</v>
      </c>
      <c r="F13" s="202">
        <v>49080</v>
      </c>
      <c r="G13" s="90">
        <f t="shared" si="0"/>
        <v>69299</v>
      </c>
      <c r="H13" s="90">
        <f t="shared" si="1"/>
        <v>79693.850000000006</v>
      </c>
    </row>
    <row r="14" spans="3:8" x14ac:dyDescent="0.2">
      <c r="C14" s="72" t="s">
        <v>84</v>
      </c>
      <c r="D14" s="202">
        <v>60260</v>
      </c>
      <c r="E14" s="202">
        <v>46540</v>
      </c>
      <c r="F14" s="202">
        <v>49080</v>
      </c>
      <c r="G14" s="90">
        <f t="shared" si="0"/>
        <v>69299</v>
      </c>
      <c r="H14" s="90">
        <f t="shared" si="1"/>
        <v>79693.850000000006</v>
      </c>
    </row>
    <row r="15" spans="3:8" x14ac:dyDescent="0.2">
      <c r="C15" s="72" t="s">
        <v>85</v>
      </c>
      <c r="D15" s="202">
        <v>60260</v>
      </c>
      <c r="E15" s="202">
        <v>46540</v>
      </c>
      <c r="F15" s="202">
        <v>49080</v>
      </c>
      <c r="G15" s="90">
        <f t="shared" si="0"/>
        <v>69299</v>
      </c>
      <c r="H15" s="90">
        <f t="shared" si="1"/>
        <v>79693.850000000006</v>
      </c>
    </row>
    <row r="16" spans="3:8" x14ac:dyDescent="0.2">
      <c r="C16" s="72" t="s">
        <v>86</v>
      </c>
      <c r="D16" s="202">
        <v>60260</v>
      </c>
      <c r="E16" s="202">
        <v>46540</v>
      </c>
      <c r="F16" s="202">
        <v>49080</v>
      </c>
      <c r="G16" s="90">
        <f t="shared" si="0"/>
        <v>69299</v>
      </c>
      <c r="H16" s="90">
        <f t="shared" si="1"/>
        <v>79693.850000000006</v>
      </c>
    </row>
    <row r="17" spans="3:8" ht="15" x14ac:dyDescent="0.25">
      <c r="C17" s="203" t="s">
        <v>87</v>
      </c>
      <c r="D17" s="202">
        <v>68300</v>
      </c>
      <c r="E17" s="202">
        <v>53000</v>
      </c>
      <c r="F17" s="202">
        <v>53600</v>
      </c>
      <c r="G17" s="90">
        <f t="shared" si="0"/>
        <v>78545</v>
      </c>
      <c r="H17" s="90">
        <f t="shared" si="1"/>
        <v>90326.75</v>
      </c>
    </row>
    <row r="19" spans="3:8" x14ac:dyDescent="0.2">
      <c r="C19" s="43" t="s">
        <v>234</v>
      </c>
    </row>
    <row r="21" spans="3:8" x14ac:dyDescent="0.2">
      <c r="C21" s="17" t="s">
        <v>230</v>
      </c>
      <c r="G21" s="200">
        <v>0.15</v>
      </c>
      <c r="H21" s="43" t="s">
        <v>225</v>
      </c>
    </row>
    <row r="22" spans="3:8" ht="15" x14ac:dyDescent="0.25">
      <c r="C22" s="204" t="s">
        <v>231</v>
      </c>
    </row>
    <row r="23" spans="3:8" x14ac:dyDescent="0.2">
      <c r="C23" t="s">
        <v>232</v>
      </c>
    </row>
    <row r="24" spans="3:8" x14ac:dyDescent="0.2">
      <c r="C24" t="s">
        <v>233</v>
      </c>
    </row>
  </sheetData>
  <hyperlinks>
    <hyperlink ref="C22" r:id="rId1" display="DocumentFormat.OpenXml.Packaging.HyperlinkRelationship" xr:uid="{50EB2519-E4B8-442F-A0F3-6AA1EFA628F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6AD9-D95E-4C71-80E2-37B2CA0FEC08}">
  <dimension ref="B3:C10"/>
  <sheetViews>
    <sheetView workbookViewId="0">
      <selection activeCell="F20" sqref="F20"/>
    </sheetView>
  </sheetViews>
  <sheetFormatPr defaultRowHeight="12.75" x14ac:dyDescent="0.2"/>
  <cols>
    <col min="2" max="2" width="9.7109375" bestFit="1" customWidth="1"/>
  </cols>
  <sheetData>
    <row r="3" spans="2:3" x14ac:dyDescent="0.2">
      <c r="B3" s="206">
        <v>45441</v>
      </c>
      <c r="C3" s="17" t="s">
        <v>236</v>
      </c>
    </row>
    <row r="4" spans="2:3" x14ac:dyDescent="0.2">
      <c r="C4" s="17" t="s">
        <v>237</v>
      </c>
    </row>
    <row r="6" spans="2:3" x14ac:dyDescent="0.2">
      <c r="B6" s="206">
        <v>45479</v>
      </c>
      <c r="C6" s="17" t="s">
        <v>238</v>
      </c>
    </row>
    <row r="8" spans="2:3" x14ac:dyDescent="0.2">
      <c r="B8" s="206">
        <v>45469</v>
      </c>
      <c r="C8" t="s">
        <v>247</v>
      </c>
    </row>
    <row r="10" spans="2:3" x14ac:dyDescent="0.2">
      <c r="B10" s="206">
        <v>45519</v>
      </c>
      <c r="C10" t="s">
        <v>250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85ed1c6-8106-40aa-a234-540a13e15eea">
      <Terms xmlns="http://schemas.microsoft.com/office/infopath/2007/PartnerControls"/>
    </lcf76f155ced4ddcb4097134ff3c332f>
    <_ip_UnifiedCompliancePolicyProperties xmlns="http://schemas.microsoft.com/sharepoint/v3" xsi:nil="true"/>
    <TaxCatchAll xmlns="384926e5-6f68-4caa-ad6c-d74ba76f7324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EB66EEED11049B30DBF924FDE0EB4" ma:contentTypeVersion="16" ma:contentTypeDescription="Create a new document." ma:contentTypeScope="" ma:versionID="9ac635bd01576f8021415081c24ca229">
  <xsd:schema xmlns:xsd="http://www.w3.org/2001/XMLSchema" xmlns:xs="http://www.w3.org/2001/XMLSchema" xmlns:p="http://schemas.microsoft.com/office/2006/metadata/properties" xmlns:ns1="http://schemas.microsoft.com/sharepoint/v3" xmlns:ns2="285ed1c6-8106-40aa-a234-540a13e15eea" xmlns:ns3="384926e5-6f68-4caa-ad6c-d74ba76f7324" targetNamespace="http://schemas.microsoft.com/office/2006/metadata/properties" ma:root="true" ma:fieldsID="02f65d8ef5a6d3759ef3923f603996c8" ns1:_="" ns2:_="" ns3:_="">
    <xsd:import namespace="http://schemas.microsoft.com/sharepoint/v3"/>
    <xsd:import namespace="285ed1c6-8106-40aa-a234-540a13e15eea"/>
    <xsd:import namespace="384926e5-6f68-4caa-ad6c-d74ba76f73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ed1c6-8106-40aa-a234-540a13e15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926e5-6f68-4caa-ad6c-d74ba76f732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82742e-aa00-4924-a754-ad5d6bbb48e9}" ma:internalName="TaxCatchAll" ma:showField="CatchAllData" ma:web="384926e5-6f68-4caa-ad6c-d74ba76f7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CDA3C-FC22-4727-A18D-8EC2AB1614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7B219-3A64-4105-8D2F-FE1AD2EF968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384926e5-6f68-4caa-ad6c-d74ba76f7324"/>
    <ds:schemaRef ds:uri="285ed1c6-8106-40aa-a234-540a13e15eea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ED1AE3-E08B-486A-B2B5-CB5F3567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5ed1c6-8106-40aa-a234-540a13e15eea"/>
    <ds:schemaRef ds:uri="384926e5-6f68-4caa-ad6c-d74ba76f7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Fee Table</vt:lpstr>
      <vt:lpstr>Fair Wages</vt:lpstr>
      <vt:lpstr>Service Pop and FTE est</vt:lpstr>
      <vt:lpstr>Start  Up</vt:lpstr>
      <vt:lpstr>Rate Assumption </vt:lpstr>
      <vt:lpstr>Per FTE cost</vt:lpstr>
      <vt:lpstr>Wages</vt:lpstr>
      <vt:lpstr>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Dolgash, Debbie (DCYF)</cp:lastModifiedBy>
  <dcterms:created xsi:type="dcterms:W3CDTF">2023-12-11T21:22:02Z</dcterms:created>
  <dcterms:modified xsi:type="dcterms:W3CDTF">2024-09-03T13:41:20Z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0x01010007AEB66EEED11049B30DBF924FDE0EB4</vt:lpwstr>
  </property>
</Properties>
</file>