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Dshsfloly3001\caoly3cd\SHARE\Contracts Unit\David's Assignments\CW Rate Site\ATLP\"/>
    </mc:Choice>
  </mc:AlternateContent>
  <xr:revisionPtr revIDLastSave="0" documentId="13_ncr:1_{05A419ED-7C9F-4AAD-A3D8-95C0F2E2C209}" xr6:coauthVersionLast="47" xr6:coauthVersionMax="47" xr10:uidLastSave="{00000000-0000-0000-0000-000000000000}"/>
  <bookViews>
    <workbookView xWindow="3945" yWindow="4530" windowWidth="21600" windowHeight="11385" tabRatio="808" xr2:uid="{0A0A5DCE-0C53-4AA5-A39F-15A76DDC1023}"/>
  </bookViews>
  <sheets>
    <sheet name="Fee Table" sheetId="24" r:id="rId1"/>
    <sheet name="Fair Wages" sheetId="25" r:id="rId2"/>
    <sheet name=" Assumptions " sheetId="9" r:id="rId3"/>
    <sheet name="Rate Summary" sheetId="10" r:id="rId4"/>
    <sheet name="Directcare Schedule " sheetId="11" r:id="rId5"/>
    <sheet name="Start up " sheetId="23" r:id="rId6"/>
  </sheets>
  <externalReferences>
    <externalReference r:id="rId7"/>
    <externalReference r:id="rId8"/>
    <externalReference r:id="rId9"/>
    <externalReference r:id="rId10"/>
    <externalReference r:id="rId11"/>
    <externalReference r:id="rId12"/>
    <externalReference r:id="rId13"/>
  </externalReferences>
  <definedNames>
    <definedName name="AdminFTE" localSheetId="2">#REF!</definedName>
    <definedName name="AdminFTE" localSheetId="4">#REF!</definedName>
    <definedName name="AdminFTE" localSheetId="1">'[1]P&amp;L'!#REF!</definedName>
    <definedName name="AdminFTE" localSheetId="3">#REF!</definedName>
    <definedName name="AdminFTE">#REF!</definedName>
    <definedName name="AdminHr" localSheetId="2">#REF!</definedName>
    <definedName name="AdminHr" localSheetId="4">#REF!</definedName>
    <definedName name="AdminHr" localSheetId="1">[1]Assumptions!$D$27</definedName>
    <definedName name="AdminHr" localSheetId="3">#REF!</definedName>
    <definedName name="AdminHr">#REF!</definedName>
    <definedName name="AdminHrs" localSheetId="1">'[2]QRTP Assumptions'!#REF!</definedName>
    <definedName name="AdminHrs">#REF!</definedName>
    <definedName name="AdminOther" localSheetId="1">'[3]P&amp;L'!#REF!</definedName>
    <definedName name="AdminOther">#REF!</definedName>
    <definedName name="AdminRate" localSheetId="2">#REF!</definedName>
    <definedName name="AdminRate" localSheetId="4">#REF!</definedName>
    <definedName name="AdminRate" localSheetId="1">[1]Assumptions!$C$27</definedName>
    <definedName name="AdminRate" localSheetId="3">#REF!</definedName>
    <definedName name="AdminRate">#REF!</definedName>
    <definedName name="AvgMonthlyRent" localSheetId="2">#REF!</definedName>
    <definedName name="AvgMonthlyRent" localSheetId="4">#REF!</definedName>
    <definedName name="AvgMonthlyRent" localSheetId="1">[1]Assumptions!#REF!</definedName>
    <definedName name="AvgMonthlyRent" localSheetId="3">#REF!</definedName>
    <definedName name="AvgMonthlyRent">#REF!</definedName>
    <definedName name="AvgRent" localSheetId="2">#REF!</definedName>
    <definedName name="AvgRent" localSheetId="4">#REF!</definedName>
    <definedName name="AvgRent" localSheetId="1">'[1]P&amp;L'!$B$19</definedName>
    <definedName name="AvgRent" localSheetId="3">#REF!</definedName>
    <definedName name="AvgRent">#REF!</definedName>
    <definedName name="Beds" localSheetId="2">' Assumptions '!$B$6</definedName>
    <definedName name="Beds" localSheetId="4">#REF!</definedName>
    <definedName name="Beds" localSheetId="1">'[4]EPS Cost Assumptions'!$B$6</definedName>
    <definedName name="Beds" localSheetId="3">#REF!</definedName>
    <definedName name="Beds">#REF!</definedName>
    <definedName name="bedss" localSheetId="1">'[5]ALPT Rate Model'!$B$4</definedName>
    <definedName name="bedss">#REF!</definedName>
    <definedName name="Benefits" localSheetId="2">#REF!</definedName>
    <definedName name="Benefits" localSheetId="4">#REF!</definedName>
    <definedName name="Benefits" localSheetId="1">[1]Assumptions!#REF!</definedName>
    <definedName name="Benefits" localSheetId="3">#REF!</definedName>
    <definedName name="Benefits">#REF!</definedName>
    <definedName name="BenefitsCost" localSheetId="2">#REF!</definedName>
    <definedName name="BenefitsCost" localSheetId="4">#REF!</definedName>
    <definedName name="BenefitsCost" localSheetId="1">'[1]P&amp;L'!#REF!</definedName>
    <definedName name="BenefitsCost" localSheetId="3">#REF!</definedName>
    <definedName name="BenefitsCost">#REF!</definedName>
    <definedName name="BOAssumption" localSheetId="2">#REF!</definedName>
    <definedName name="BOAssumption" localSheetId="4">#REF!</definedName>
    <definedName name="BOAssumption" localSheetId="1">[1]Assumptions!#REF!</definedName>
    <definedName name="BOAssumption" localSheetId="3">#REF!</definedName>
    <definedName name="BOAssumption">#REF!</definedName>
    <definedName name="book" localSheetId="2">#REF!</definedName>
    <definedName name="book" localSheetId="4">#REF!</definedName>
    <definedName name="book" localSheetId="1">[1]Assumptions!$B$42</definedName>
    <definedName name="book" localSheetId="3">#REF!</definedName>
    <definedName name="book">#REF!</definedName>
    <definedName name="bookyr" localSheetId="2">#REF!</definedName>
    <definedName name="bookyr" localSheetId="4">#REF!</definedName>
    <definedName name="bookyr" localSheetId="1">[1]Assumptions!$C$42</definedName>
    <definedName name="bookyr" localSheetId="3">#REF!</definedName>
    <definedName name="bookyr">#REF!</definedName>
    <definedName name="Clinical" localSheetId="2">#REF!</definedName>
    <definedName name="Clinical" localSheetId="4">#REF!</definedName>
    <definedName name="Clinical" localSheetId="1">'[1]P&amp;L'!#REF!</definedName>
    <definedName name="Clinical" localSheetId="3">#REF!</definedName>
    <definedName name="Clinical">#REF!</definedName>
    <definedName name="ClinicalFTE" localSheetId="2">#REF!</definedName>
    <definedName name="ClinicalFTE" localSheetId="4">#REF!</definedName>
    <definedName name="ClinicalFTE" localSheetId="1">'[1]P&amp;L'!#REF!</definedName>
    <definedName name="ClinicalFTE" localSheetId="3">#REF!</definedName>
    <definedName name="ClinicalFTE">#REF!</definedName>
    <definedName name="ClinicalHr" localSheetId="2">#REF!</definedName>
    <definedName name="ClinicalHr" localSheetId="4">#REF!</definedName>
    <definedName name="ClinicalHr" localSheetId="1">[1]Assumptions!#REF!</definedName>
    <definedName name="ClinicalHr" localSheetId="3">#REF!</definedName>
    <definedName name="ClinicalHr">#REF!</definedName>
    <definedName name="ClinicalHrs" localSheetId="2">#REF!</definedName>
    <definedName name="ClinicalHrs" localSheetId="4">#REF!</definedName>
    <definedName name="ClinicalHrs" localSheetId="1">[1]Assumptions!#REF!</definedName>
    <definedName name="ClinicalHrs" localSheetId="3">#REF!</definedName>
    <definedName name="ClinicalHrs">#REF!</definedName>
    <definedName name="ClinicalRate" localSheetId="2">#REF!</definedName>
    <definedName name="ClinicalRate" localSheetId="4">#REF!</definedName>
    <definedName name="ClinicalRate" localSheetId="1">[1]Assumptions!#REF!</definedName>
    <definedName name="ClinicalRate" localSheetId="3">#REF!</definedName>
    <definedName name="ClinicalRate">#REF!</definedName>
    <definedName name="Clothing" localSheetId="2">#REF!</definedName>
    <definedName name="Clothing" localSheetId="4">#REF!</definedName>
    <definedName name="Clothing" localSheetId="1">[1]Assumptions!$B$47</definedName>
    <definedName name="Clothing" localSheetId="3">#REF!</definedName>
    <definedName name="Clothing">#REF!</definedName>
    <definedName name="clothingyr" localSheetId="2">#REF!</definedName>
    <definedName name="clothingyr" localSheetId="4">#REF!</definedName>
    <definedName name="clothingyr" localSheetId="1">[1]Assumptions!$C$47</definedName>
    <definedName name="clothingyr" localSheetId="3">#REF!</definedName>
    <definedName name="clothingyr">#REF!</definedName>
    <definedName name="CommunityHr" localSheetId="2">#REF!</definedName>
    <definedName name="CommunityHr" localSheetId="4">#REF!</definedName>
    <definedName name="CommunityHr" localSheetId="1">[1]Assumptions!#REF!</definedName>
    <definedName name="CommunityHr" localSheetId="3">#REF!</definedName>
    <definedName name="CommunityHr">#REF!</definedName>
    <definedName name="CompensationMonthly" localSheetId="2">#REF!</definedName>
    <definedName name="CompensationMonthly" localSheetId="4">#REF!</definedName>
    <definedName name="CompensationMonthly" localSheetId="1">'[1]P&amp;L'!$B$4</definedName>
    <definedName name="CompensationMonthly" localSheetId="3">#REF!</definedName>
    <definedName name="CompensationMonthly">#REF!</definedName>
    <definedName name="CompMonthly" localSheetId="2">#REF!</definedName>
    <definedName name="CompMonthly" localSheetId="4">#REF!</definedName>
    <definedName name="CompMonthly" localSheetId="1">[1]Assumptions!$B$10</definedName>
    <definedName name="CompMonthly" localSheetId="3">#REF!</definedName>
    <definedName name="CompMonthly">#REF!</definedName>
    <definedName name="CompYear" localSheetId="2">#REF!</definedName>
    <definedName name="CompYear" localSheetId="4">#REF!</definedName>
    <definedName name="CompYear" localSheetId="1">'[1]P&amp;L'!$C$4</definedName>
    <definedName name="CompYear" localSheetId="3">#REF!</definedName>
    <definedName name="CompYear">#REF!</definedName>
    <definedName name="craft" localSheetId="2">#REF!</definedName>
    <definedName name="craft" localSheetId="4">#REF!</definedName>
    <definedName name="craft" localSheetId="1">[1]Assumptions!$B$51</definedName>
    <definedName name="craft" localSheetId="3">#REF!</definedName>
    <definedName name="craft">#REF!</definedName>
    <definedName name="craftyr" localSheetId="2">#REF!</definedName>
    <definedName name="craftyr" localSheetId="4">#REF!</definedName>
    <definedName name="craftyr" localSheetId="1">[1]Assumptions!$C$51</definedName>
    <definedName name="craftyr" localSheetId="3">#REF!</definedName>
    <definedName name="craftyr">#REF!</definedName>
    <definedName name="DATATYPEVal" localSheetId="1">[6]Validation!$C$2:$C$3</definedName>
    <definedName name="DATATYPEVal">#REF!</definedName>
    <definedName name="DayDirectFTE" localSheetId="2">#REF!</definedName>
    <definedName name="DayDirectFTE" localSheetId="4">#REF!</definedName>
    <definedName name="DayDirectFTE" localSheetId="1">'[1]P&amp;L'!#REF!</definedName>
    <definedName name="DayDirectFTE" localSheetId="3">#REF!</definedName>
    <definedName name="DayDirectFTE">#REF!</definedName>
    <definedName name="DayDirectHr" localSheetId="2">#REF!</definedName>
    <definedName name="DayDirectHr" localSheetId="4">#REF!</definedName>
    <definedName name="DayDirectHr" localSheetId="1">[1]Assumptions!$D$24</definedName>
    <definedName name="DayDirectHr" localSheetId="3">#REF!</definedName>
    <definedName name="DayDirectHr">#REF!</definedName>
    <definedName name="DayDirectHrs" localSheetId="2">#REF!</definedName>
    <definedName name="DayDirectHrs" localSheetId="4">#REF!</definedName>
    <definedName name="DayDirectHrs" localSheetId="1">[1]Assumptions!$C$24</definedName>
    <definedName name="DayDirectHrs" localSheetId="3">#REF!</definedName>
    <definedName name="DayDirectHrs">#REF!</definedName>
    <definedName name="DayDirectStaff" localSheetId="2">#REF!</definedName>
    <definedName name="DayDirectStaff" localSheetId="4">#REF!</definedName>
    <definedName name="DayDirectStaff" localSheetId="1">[1]Assumptions!$B$24</definedName>
    <definedName name="DayDirectStaff" localSheetId="3">#REF!</definedName>
    <definedName name="DayDirectStaff">#REF!</definedName>
    <definedName name="DirectCare" localSheetId="1">'[2]P&amp;L'!$B$37</definedName>
    <definedName name="DirectCare">#REF!</definedName>
    <definedName name="DirectCareCoverage" localSheetId="2">#REF!</definedName>
    <definedName name="DirectCareCoverage" localSheetId="4">#REF!</definedName>
    <definedName name="DirectCareCoverage" localSheetId="1">[1]Assumptions!$B$26</definedName>
    <definedName name="DirectCareCoverage" localSheetId="3">#REF!</definedName>
    <definedName name="DirectCareCoverage">#REF!</definedName>
    <definedName name="DirectCareFTE" localSheetId="2">#REF!</definedName>
    <definedName name="DirectCareFTE" localSheetId="4">#REF!</definedName>
    <definedName name="DirectCareFTE" localSheetId="1">'[1]P&amp;L'!#REF!</definedName>
    <definedName name="DirectCareFTE" localSheetId="3">#REF!</definedName>
    <definedName name="DirectCareFTE">#REF!</definedName>
    <definedName name="DirectCareHr" localSheetId="2">#REF!</definedName>
    <definedName name="DirectCareHr" localSheetId="4">#REF!</definedName>
    <definedName name="DirectCareHr" localSheetId="1">[1]Assumptions!$D$23</definedName>
    <definedName name="DirectCareHr" localSheetId="3">#REF!</definedName>
    <definedName name="DirectCareHr">#REF!</definedName>
    <definedName name="DirectCareHrs" localSheetId="2">#REF!</definedName>
    <definedName name="DirectCareHrs" localSheetId="4">#REF!</definedName>
    <definedName name="DirectCareHrs" localSheetId="1">[1]Assumptions!$C$26</definedName>
    <definedName name="DirectCareHrs" localSheetId="3">#REF!</definedName>
    <definedName name="DirectCareHrs">#REF!</definedName>
    <definedName name="DirectCareSup" localSheetId="2">#REF!</definedName>
    <definedName name="DirectCareSup" localSheetId="4">#REF!</definedName>
    <definedName name="DirectCareSup" localSheetId="1">'[1]P&amp;L'!#REF!</definedName>
    <definedName name="DirectCareSup" localSheetId="3">#REF!</definedName>
    <definedName name="DirectCareSup">#REF!</definedName>
    <definedName name="DirectCareSup2" localSheetId="1">'[1]P&amp;L'!#REF!</definedName>
    <definedName name="DirectCareSup2">#REF!</definedName>
    <definedName name="DirectorHrsPerMonth" localSheetId="2">#REF!</definedName>
    <definedName name="DirectorHrsPerMonth" localSheetId="4">#REF!</definedName>
    <definedName name="DirectorHrsPerMonth" localSheetId="1">'[1]P&amp;L'!#REF!</definedName>
    <definedName name="DirectorHrsPerMonth" localSheetId="3">#REF!</definedName>
    <definedName name="DirectorHrsPerMonth">#REF!</definedName>
    <definedName name="DirectorHrsPerMonths" localSheetId="1">'[1]P&amp;L'!#REF!</definedName>
    <definedName name="DirectorHrsPerMonths">#REF!</definedName>
    <definedName name="DirectorWage" localSheetId="2">#REF!</definedName>
    <definedName name="DirectorWage" localSheetId="4">#REF!</definedName>
    <definedName name="DirectorWage" localSheetId="1">[1]Assumptions!#REF!</definedName>
    <definedName name="DirectorWage" localSheetId="3">#REF!</definedName>
    <definedName name="DirectorWage">#REF!</definedName>
    <definedName name="DirectorWagess" localSheetId="1">[1]Assumptions!#REF!</definedName>
    <definedName name="DirectorWagess">#REF!</definedName>
    <definedName name="Edu" localSheetId="2">#REF!</definedName>
    <definedName name="Edu" localSheetId="4">#REF!</definedName>
    <definedName name="Edu" localSheetId="1">[1]Assumptions!#REF!</definedName>
    <definedName name="Edu" localSheetId="3">#REF!</definedName>
    <definedName name="Edu">#REF!</definedName>
    <definedName name="EducationMonthly" localSheetId="2">#REF!</definedName>
    <definedName name="EducationMonthly" localSheetId="4">#REF!</definedName>
    <definedName name="EducationMonthly" localSheetId="1">[1]Assumptions!#REF!</definedName>
    <definedName name="EducationMonthly" localSheetId="3">#REF!</definedName>
    <definedName name="EducationMonthly">#REF!</definedName>
    <definedName name="EducationMonthlys" localSheetId="1">[1]Assumptions!#REF!</definedName>
    <definedName name="EducationMonthlys">#REF!</definedName>
    <definedName name="EduMonthly" localSheetId="1">'[1]P&amp;L'!#REF!</definedName>
    <definedName name="EduMonthly">#REF!</definedName>
    <definedName name="Edus" localSheetId="1">[1]Assumptions!#REF!</definedName>
    <definedName name="Edus">#REF!</definedName>
    <definedName name="EmpAds" localSheetId="2">#REF!</definedName>
    <definedName name="EmpAds" localSheetId="4">#REF!</definedName>
    <definedName name="EmpAds" localSheetId="1">[1]Assumptions!#REF!</definedName>
    <definedName name="EmpAds" localSheetId="3">#REF!</definedName>
    <definedName name="EmpAds">#REF!</definedName>
    <definedName name="EmplymentAds" localSheetId="2">#REF!</definedName>
    <definedName name="EmplymentAds" localSheetId="4">#REF!</definedName>
    <definedName name="EmplymentAds" localSheetId="1">[1]Assumptions!#REF!</definedName>
    <definedName name="EmplymentAds" localSheetId="3">#REF!</definedName>
    <definedName name="EmplymentAds">#REF!</definedName>
    <definedName name="EmplymentAdss" localSheetId="1">[1]Assumptions!#REF!</definedName>
    <definedName name="EmplymentAdss">#REF!</definedName>
    <definedName name="EmpsAdss" localSheetId="1">[1]Assumptions!#REF!</definedName>
    <definedName name="EmpsAdss">#REF!</definedName>
    <definedName name="Exechr" localSheetId="2">#REF!</definedName>
    <definedName name="Exechr" localSheetId="4">#REF!</definedName>
    <definedName name="Exechr" localSheetId="1">[1]Assumptions!$D$21</definedName>
    <definedName name="Exechr" localSheetId="3">#REF!</definedName>
    <definedName name="Exechr">#REF!</definedName>
    <definedName name="ExecHrs" localSheetId="2">#REF!</definedName>
    <definedName name="ExecHrs" localSheetId="4">#REF!</definedName>
    <definedName name="ExecHrs" localSheetId="1">[1]Assumptions!$C$21</definedName>
    <definedName name="ExecHrs" localSheetId="3">#REF!</definedName>
    <definedName name="ExecHrs">#REF!</definedName>
    <definedName name="ExecManage" localSheetId="2">#REF!</definedName>
    <definedName name="ExecManage" localSheetId="4">#REF!</definedName>
    <definedName name="ExecManage" localSheetId="1">[1]Assumptions!#REF!</definedName>
    <definedName name="ExecManage" localSheetId="3">#REF!</definedName>
    <definedName name="ExecManage">#REF!</definedName>
    <definedName name="ExecManages" localSheetId="1">[1]Assumptions!#REF!</definedName>
    <definedName name="ExecManages">#REF!</definedName>
    <definedName name="execmonthly" localSheetId="2">#REF!</definedName>
    <definedName name="execmonthly" localSheetId="4">#REF!</definedName>
    <definedName name="execmonthly" localSheetId="1">'[1]P&amp;L'!$B$34</definedName>
    <definedName name="execmonthly" localSheetId="3">#REF!</definedName>
    <definedName name="execmonthly">#REF!</definedName>
    <definedName name="ExecNorthwest" localSheetId="2">#REF!</definedName>
    <definedName name="ExecNorthwest" localSheetId="4">#REF!</definedName>
    <definedName name="ExecNorthwest" localSheetId="1">'[1]Cost of Living'!#REF!</definedName>
    <definedName name="ExecNorthwest" localSheetId="3">#REF!</definedName>
    <definedName name="ExecNorthwest">#REF!</definedName>
    <definedName name="ExecNorthwests" localSheetId="1">'[1]Cost of Living'!#REF!</definedName>
    <definedName name="ExecNorthwests">#REF!</definedName>
    <definedName name="ExecRate" localSheetId="2">#REF!</definedName>
    <definedName name="ExecRate" localSheetId="4">#REF!</definedName>
    <definedName name="ExecRate" localSheetId="1">'[2]QRTP Assumptions'!#REF!</definedName>
    <definedName name="ExecRate" localSheetId="3">#REF!</definedName>
    <definedName name="ExecRate">#REF!</definedName>
    <definedName name="ExecRates" localSheetId="1">'[2]QRTP Assumptions'!#REF!</definedName>
    <definedName name="ExecRates">#REF!</definedName>
    <definedName name="ExecSnowhomish" localSheetId="2">#REF!</definedName>
    <definedName name="ExecSnowhomish" localSheetId="4">#REF!</definedName>
    <definedName name="ExecSnowhomish" localSheetId="1">'[1]Cost of Living'!#REF!</definedName>
    <definedName name="ExecSnowhomish" localSheetId="3">#REF!</definedName>
    <definedName name="ExecSnowhomish">#REF!</definedName>
    <definedName name="ExecSnowhomishs" localSheetId="1">'[1]Cost of Living'!#REF!</definedName>
    <definedName name="ExecSnowhomishs">#REF!</definedName>
    <definedName name="Fed" localSheetId="2">#REF!</definedName>
    <definedName name="Fed" localSheetId="4">#REF!</definedName>
    <definedName name="Fed" localSheetId="1">'[1]P&amp;L'!#REF!</definedName>
    <definedName name="Fed" localSheetId="3">#REF!</definedName>
    <definedName name="Fed">#REF!</definedName>
    <definedName name="Feds" localSheetId="1">'[1]P&amp;L'!#REF!</definedName>
    <definedName name="Feds">#REF!</definedName>
    <definedName name="FedTax" localSheetId="2">#REF!</definedName>
    <definedName name="FedTax" localSheetId="4">#REF!</definedName>
    <definedName name="FedTax" localSheetId="1">[1]Assumptions!$B$34</definedName>
    <definedName name="FedTax" localSheetId="3">#REF!</definedName>
    <definedName name="FedTax">#REF!</definedName>
    <definedName name="food" localSheetId="2">#REF!</definedName>
    <definedName name="food" localSheetId="4">#REF!</definedName>
    <definedName name="food" localSheetId="1">[1]Assumptions!$B$49</definedName>
    <definedName name="food" localSheetId="3">#REF!</definedName>
    <definedName name="food">#REF!</definedName>
    <definedName name="foodyr" localSheetId="2">#REF!</definedName>
    <definedName name="foodyr" localSheetId="4">#REF!</definedName>
    <definedName name="foodyr" localSheetId="1">[1]Assumptions!$C$49</definedName>
    <definedName name="foodyr" localSheetId="3">#REF!</definedName>
    <definedName name="foodyr">#REF!</definedName>
    <definedName name="FTEDirector" localSheetId="2">#REF!</definedName>
    <definedName name="FTEDirector" localSheetId="4">#REF!</definedName>
    <definedName name="FTEDirector" localSheetId="1">'[1]P&amp;L'!#REF!</definedName>
    <definedName name="FTEDirector" localSheetId="3">#REF!</definedName>
    <definedName name="FTEDirector">#REF!</definedName>
    <definedName name="FTEDirectors" localSheetId="1">'[1]P&amp;L'!#REF!</definedName>
    <definedName name="FTEDirectors">#REF!</definedName>
    <definedName name="Funds" localSheetId="1">[7]Data!$B$83:$B$101</definedName>
    <definedName name="Funds">#REF!</definedName>
    <definedName name="Insurance" localSheetId="2">#REF!</definedName>
    <definedName name="Insurance" localSheetId="4">#REF!</definedName>
    <definedName name="Insurance" localSheetId="1">[1]Assumptions!$B$41</definedName>
    <definedName name="Insurance" localSheetId="3">#REF!</definedName>
    <definedName name="Insurance">#REF!</definedName>
    <definedName name="InsuranceYr" localSheetId="2">#REF!</definedName>
    <definedName name="InsuranceYr" localSheetId="4">#REF!</definedName>
    <definedName name="InsuranceYr" localSheetId="1">'[1]P&amp;L'!$C$9</definedName>
    <definedName name="InsuranceYr" localSheetId="3">#REF!</definedName>
    <definedName name="InsuranceYr">#REF!</definedName>
    <definedName name="Legal" localSheetId="2">#REF!</definedName>
    <definedName name="Legal" localSheetId="4">#REF!</definedName>
    <definedName name="Legal" localSheetId="1">[1]Assumptions!$B$43</definedName>
    <definedName name="Legal" localSheetId="3">#REF!</definedName>
    <definedName name="Legal">#REF!</definedName>
    <definedName name="LevelValidation" localSheetId="1">[6]Validation!$A$2:$A$3</definedName>
    <definedName name="LevelValidation">#REF!</definedName>
    <definedName name="License" localSheetId="2">#REF!</definedName>
    <definedName name="License" localSheetId="4">#REF!</definedName>
    <definedName name="License" localSheetId="1">[1]Assumptions!$B$44</definedName>
    <definedName name="License" localSheetId="3">#REF!</definedName>
    <definedName name="License">#REF!</definedName>
    <definedName name="LicenseCost" localSheetId="2">#REF!</definedName>
    <definedName name="LicenseCost" localSheetId="4">#REF!</definedName>
    <definedName name="LicenseCost" localSheetId="1">'[1]P&amp;L'!$C$12</definedName>
    <definedName name="LicenseCost" localSheetId="3">#REF!</definedName>
    <definedName name="LicenseCost">#REF!</definedName>
    <definedName name="List10" localSheetId="1">#REF!</definedName>
    <definedName name="List10">#REF!</definedName>
    <definedName name="list2" localSheetId="1">#REF!</definedName>
    <definedName name="list2">#REF!</definedName>
    <definedName name="list3" localSheetId="1">#REF!</definedName>
    <definedName name="list3">#REF!</definedName>
    <definedName name="List5" localSheetId="1">#REF!</definedName>
    <definedName name="List5">#REF!</definedName>
    <definedName name="list6" localSheetId="1">#REF!</definedName>
    <definedName name="list6">#REF!</definedName>
    <definedName name="MaintenanceMonthly" localSheetId="2">#REF!</definedName>
    <definedName name="MaintenanceMonthly" localSheetId="4">#REF!</definedName>
    <definedName name="MaintenanceMonthly" localSheetId="1">'[1]P&amp;L'!#REF!</definedName>
    <definedName name="MaintenanceMonthly" localSheetId="3">#REF!</definedName>
    <definedName name="MaintenanceMonthly">#REF!</definedName>
    <definedName name="MaintenanceMonthlys" localSheetId="1">'[1]P&amp;L'!#REF!</definedName>
    <definedName name="MaintenanceMonthlys">#REF!</definedName>
    <definedName name="MaintenanceYr" localSheetId="2">#REF!</definedName>
    <definedName name="MaintenanceYr" localSheetId="4">#REF!</definedName>
    <definedName name="MaintenanceYr" localSheetId="1">'[1]P&amp;L'!#REF!</definedName>
    <definedName name="MaintenanceYr" localSheetId="3">#REF!</definedName>
    <definedName name="MaintenanceYr">#REF!</definedName>
    <definedName name="MaintenanceYrs" localSheetId="1">'[1]P&amp;L'!#REF!</definedName>
    <definedName name="MaintenanceYrs">#REF!</definedName>
    <definedName name="Manage" localSheetId="2">#REF!</definedName>
    <definedName name="Manage" localSheetId="4">#REF!</definedName>
    <definedName name="Manage" localSheetId="1">'[1]P&amp;L'!#REF!</definedName>
    <definedName name="Manage" localSheetId="3">#REF!</definedName>
    <definedName name="Manage">#REF!</definedName>
    <definedName name="ManageFTE" localSheetId="2">#REF!</definedName>
    <definedName name="ManageFTE" localSheetId="4">#REF!</definedName>
    <definedName name="ManageFTE" localSheetId="1">'[1]P&amp;L'!#REF!</definedName>
    <definedName name="ManageFTE" localSheetId="3">#REF!</definedName>
    <definedName name="ManageFTE">#REF!</definedName>
    <definedName name="ManageFTEs\" localSheetId="2">#REF!</definedName>
    <definedName name="ManageFTEs\" localSheetId="4">#REF!</definedName>
    <definedName name="ManageFTEs\" localSheetId="1">'[1]P&amp;L'!#REF!</definedName>
    <definedName name="ManageFTEs\" localSheetId="3">#REF!</definedName>
    <definedName name="ManageFTEs\">#REF!</definedName>
    <definedName name="ManageHrsMonth" localSheetId="2">#REF!</definedName>
    <definedName name="ManageHrsMonth" localSheetId="4">#REF!</definedName>
    <definedName name="ManageHrsMonth" localSheetId="1">[1]Assumptions!#REF!</definedName>
    <definedName name="ManageHrsMonth" localSheetId="3">#REF!</definedName>
    <definedName name="ManageHrsMonth">#REF!</definedName>
    <definedName name="ManageHrsMonths" localSheetId="1">[1]Assumptions!#REF!</definedName>
    <definedName name="ManageHrsMonths">#REF!</definedName>
    <definedName name="ManageRate" localSheetId="2">#REF!</definedName>
    <definedName name="ManageRate" localSheetId="4">#REF!</definedName>
    <definedName name="ManageRate" localSheetId="1">[1]Assumptions!#REF!</definedName>
    <definedName name="ManageRate" localSheetId="3">#REF!</definedName>
    <definedName name="ManageRate">#REF!</definedName>
    <definedName name="ManageRates" localSheetId="1">[1]Assumptions!#REF!</definedName>
    <definedName name="ManageRates">#REF!</definedName>
    <definedName name="ManagerHr" localSheetId="2">#REF!</definedName>
    <definedName name="ManagerHr" localSheetId="4">#REF!</definedName>
    <definedName name="ManagerHr" localSheetId="1">[1]Assumptions!$D$22</definedName>
    <definedName name="ManagerHr" localSheetId="3">#REF!</definedName>
    <definedName name="ManagerHr">#REF!</definedName>
    <definedName name="Manages" localSheetId="1">'[1]P&amp;L'!#REF!</definedName>
    <definedName name="Manages">#REF!</definedName>
    <definedName name="ManagesFTEs" localSheetId="1">'[1]P&amp;L'!#REF!</definedName>
    <definedName name="ManagesFTEs">#REF!</definedName>
    <definedName name="ManagesFTEs\s" localSheetId="1">'[1]P&amp;L'!#REF!</definedName>
    <definedName name="ManagesFTEs\s">#REF!</definedName>
    <definedName name="Marketing" localSheetId="1">[1]Assumptions!#REF!</definedName>
    <definedName name="Marketing">#REF!</definedName>
    <definedName name="Med" localSheetId="2">#REF!</definedName>
    <definedName name="Med" localSheetId="4">#REF!</definedName>
    <definedName name="Med" localSheetId="1">'[1]P&amp;L'!#REF!</definedName>
    <definedName name="Med" localSheetId="3">#REF!</definedName>
    <definedName name="Med">#REF!</definedName>
    <definedName name="MedAssistants" localSheetId="2">#REF!</definedName>
    <definedName name="MedAssistants" localSheetId="4">#REF!</definedName>
    <definedName name="MedAssistants" localSheetId="1">'[1]P&amp;L'!#REF!</definedName>
    <definedName name="MedAssistants" localSheetId="3">#REF!</definedName>
    <definedName name="MedAssistants">#REF!</definedName>
    <definedName name="MedAssitants" localSheetId="1">'[1]P&amp;L'!#REF!</definedName>
    <definedName name="MedAssitants">#REF!</definedName>
    <definedName name="MedHrs" localSheetId="2">#REF!</definedName>
    <definedName name="MedHrs" localSheetId="4">#REF!</definedName>
    <definedName name="MedHrs" localSheetId="1">[1]Assumptions!#REF!</definedName>
    <definedName name="MedHrs" localSheetId="3">#REF!</definedName>
    <definedName name="MedHrs">#REF!</definedName>
    <definedName name="medicalequipment" localSheetId="2">#REF!</definedName>
    <definedName name="medicalequipment" localSheetId="4">#REF!</definedName>
    <definedName name="medicalequipment" localSheetId="1">[1]Assumptions!$B$48</definedName>
    <definedName name="medicalequipment" localSheetId="3">#REF!</definedName>
    <definedName name="medicalequipment">#REF!</definedName>
    <definedName name="MedRate" localSheetId="2">#REF!</definedName>
    <definedName name="MedRate" localSheetId="4">#REF!</definedName>
    <definedName name="MedRate" localSheetId="1">[1]Assumptions!#REF!</definedName>
    <definedName name="MedRate" localSheetId="3">#REF!</definedName>
    <definedName name="MedRate">#REF!</definedName>
    <definedName name="Meds" localSheetId="1">'[1]P&amp;L'!#REF!</definedName>
    <definedName name="Meds">#REF!</definedName>
    <definedName name="medyrcost" localSheetId="2">#REF!</definedName>
    <definedName name="medyrcost" localSheetId="4">#REF!</definedName>
    <definedName name="medyrcost" localSheetId="1">[1]Assumptions!$C$48</definedName>
    <definedName name="medyrcost" localSheetId="3">#REF!</definedName>
    <definedName name="medyrcost">#REF!</definedName>
    <definedName name="Office" localSheetId="2">#REF!</definedName>
    <definedName name="Office" localSheetId="4">#REF!</definedName>
    <definedName name="Office" localSheetId="1">[1]Assumptions!$B$45</definedName>
    <definedName name="Office" localSheetId="3">#REF!</definedName>
    <definedName name="Office">#REF!</definedName>
    <definedName name="OfficeYr" localSheetId="2">#REF!</definedName>
    <definedName name="OfficeYr" localSheetId="4">#REF!</definedName>
    <definedName name="OfficeYr" localSheetId="1">'[1]P&amp;L'!$C$13</definedName>
    <definedName name="OfficeYr" localSheetId="3">#REF!</definedName>
    <definedName name="OfficeYr">#REF!</definedName>
    <definedName name="OvernightFTE" localSheetId="2">#REF!</definedName>
    <definedName name="OvernightFTE" localSheetId="4">#REF!</definedName>
    <definedName name="OvernightFTE" localSheetId="1">'[1]P&amp;L'!#REF!</definedName>
    <definedName name="OvernightFTE" localSheetId="3">#REF!</definedName>
    <definedName name="OvernightFTE">#REF!</definedName>
    <definedName name="OvernightHr" localSheetId="2">#REF!</definedName>
    <definedName name="OvernightHr" localSheetId="4">#REF!</definedName>
    <definedName name="OvernightHr" localSheetId="1">[1]Assumptions!$D$25</definedName>
    <definedName name="OvernightHr" localSheetId="3">#REF!</definedName>
    <definedName name="OvernightHr">#REF!</definedName>
    <definedName name="OvernightStaff" localSheetId="2">#REF!</definedName>
    <definedName name="OvernightStaff" localSheetId="4">#REF!</definedName>
    <definedName name="OvernightStaff" localSheetId="1">[1]Assumptions!$B$25</definedName>
    <definedName name="OvernightStaff" localSheetId="3">#REF!</definedName>
    <definedName name="OvernightStaff">#REF!</definedName>
    <definedName name="OvernightStaffHrs" localSheetId="2">#REF!</definedName>
    <definedName name="OvernightStaffHrs" localSheetId="4">#REF!</definedName>
    <definedName name="OvernightStaffHrs" localSheetId="1">[1]Assumptions!$C$25</definedName>
    <definedName name="OvernightStaffHrs" localSheetId="3">#REF!</definedName>
    <definedName name="OvernightStaffHrs">#REF!</definedName>
    <definedName name="Payroll" localSheetId="2">#REF!</definedName>
    <definedName name="Payroll" localSheetId="4">#REF!</definedName>
    <definedName name="Payroll" localSheetId="1">'[1]P&amp;L'!#REF!</definedName>
    <definedName name="Payroll" localSheetId="3">#REF!</definedName>
    <definedName name="Payroll">#REF!</definedName>
    <definedName name="PayTax" localSheetId="2">#REF!</definedName>
    <definedName name="PayTax" localSheetId="4">#REF!</definedName>
    <definedName name="PayTax" localSheetId="1">[1]Assumptions!$B$35</definedName>
    <definedName name="PayTax" localSheetId="3">#REF!</definedName>
    <definedName name="PayTax">#REF!</definedName>
    <definedName name="PDHrs" localSheetId="1">'[2]QRTP Assumptions'!#REF!</definedName>
    <definedName name="PDHrs">#REF!</definedName>
    <definedName name="PdHrsMonth" localSheetId="2">#REF!</definedName>
    <definedName name="PdHrsMonth" localSheetId="4">#REF!</definedName>
    <definedName name="PdHrsMonth" localSheetId="1">[1]Assumptions!$C$22</definedName>
    <definedName name="PdHrsMonth" localSheetId="3">#REF!</definedName>
    <definedName name="PdHrsMonth">#REF!</definedName>
    <definedName name="PrintedMat" localSheetId="2">#REF!</definedName>
    <definedName name="PrintedMat" localSheetId="4">#REF!</definedName>
    <definedName name="PrintedMat" localSheetId="1">[1]Assumptions!#REF!</definedName>
    <definedName name="PrintedMat" localSheetId="3">#REF!</definedName>
    <definedName name="PrintedMat">#REF!</definedName>
    <definedName name="profyr" localSheetId="2">#REF!</definedName>
    <definedName name="profyr" localSheetId="4">#REF!</definedName>
    <definedName name="profyr" localSheetId="1">[1]Assumptions!$C$43</definedName>
    <definedName name="profyr" localSheetId="3">#REF!</definedName>
    <definedName name="profyr">#REF!</definedName>
    <definedName name="ProgramDirector" localSheetId="1">'[2]P&amp;L'!$B$36</definedName>
    <definedName name="ProgramDirector">#REF!</definedName>
    <definedName name="ReliefHr" localSheetId="2">#REF!</definedName>
    <definedName name="ReliefHr" localSheetId="4">#REF!</definedName>
    <definedName name="ReliefHr" localSheetId="1">[1]Assumptions!$D$26</definedName>
    <definedName name="ReliefHr" localSheetId="3">#REF!</definedName>
    <definedName name="ReliefHr">#REF!</definedName>
    <definedName name="Rent" localSheetId="2">#REF!</definedName>
    <definedName name="Rent" localSheetId="4">#REF!</definedName>
    <definedName name="Rent" localSheetId="1">[1]Assumptions!#REF!</definedName>
    <definedName name="Rent" localSheetId="3">#REF!</definedName>
    <definedName name="Rent">#REF!</definedName>
    <definedName name="Repairs" localSheetId="2">#REF!</definedName>
    <definedName name="Repairs" localSheetId="4">#REF!</definedName>
    <definedName name="Repairs" localSheetId="1">[1]Assumptions!$B$46</definedName>
    <definedName name="Repairs" localSheetId="3">#REF!</definedName>
    <definedName name="Repairs">#REF!</definedName>
    <definedName name="RepairsYr" localSheetId="2">#REF!</definedName>
    <definedName name="RepairsYr" localSheetId="4">#REF!</definedName>
    <definedName name="RepairsYr" localSheetId="1">'[1]P&amp;L'!$C$14</definedName>
    <definedName name="RepairsYr" localSheetId="3">#REF!</definedName>
    <definedName name="RepairsYr">#REF!</definedName>
    <definedName name="Revenue" localSheetId="2">#REF!</definedName>
    <definedName name="Revenue" localSheetId="4">#REF!</definedName>
    <definedName name="Revenue" localSheetId="1">'[1]P&amp;L'!#REF!</definedName>
    <definedName name="Revenue" localSheetId="3">#REF!</definedName>
    <definedName name="Revenue">#REF!</definedName>
    <definedName name="SqfeetpriceCOLI" localSheetId="2">#REF!</definedName>
    <definedName name="SqfeetpriceCOLI" localSheetId="4">#REF!</definedName>
    <definedName name="SqfeetpriceCOLI" localSheetId="1">[1]Assumptions!$B$59</definedName>
    <definedName name="SqfeetpriceCOLI" localSheetId="3">#REF!</definedName>
    <definedName name="SqfeetpriceCOLI">#REF!</definedName>
    <definedName name="SqFtPrice" localSheetId="2">#REF!</definedName>
    <definedName name="SqFtPrice" localSheetId="4">#REF!</definedName>
    <definedName name="SqFtPrice" localSheetId="1">[1]Assumptions!#REF!</definedName>
    <definedName name="SqFtPrice" localSheetId="3">#REF!</definedName>
    <definedName name="SqFtPrice">#REF!</definedName>
    <definedName name="SqrFt" localSheetId="2">#REF!</definedName>
    <definedName name="SqrFt" localSheetId="4">#REF!</definedName>
    <definedName name="SqrFt" localSheetId="1">[1]Assumptions!#REF!</definedName>
    <definedName name="SqrFt" localSheetId="3">#REF!</definedName>
    <definedName name="SqrFt">#REF!</definedName>
    <definedName name="ss" localSheetId="1">[1]Assumptions!#REF!</definedName>
    <definedName name="ss">#REF!</definedName>
    <definedName name="SupervisorHrs" localSheetId="2">#REF!</definedName>
    <definedName name="SupervisorHrs" localSheetId="4">#REF!</definedName>
    <definedName name="SupervisorHrs" localSheetId="1">[1]Assumptions!$C$23</definedName>
    <definedName name="SupervisorHrs" localSheetId="3">#REF!</definedName>
    <definedName name="SupervisorHrs">#REF!</definedName>
    <definedName name="SupervisorRate" localSheetId="2">#REF!</definedName>
    <definedName name="SupervisorRate" localSheetId="4">#REF!</definedName>
    <definedName name="SupervisorRate" localSheetId="1">[1]Assumptions!$B$23</definedName>
    <definedName name="SupervisorRate" localSheetId="3">#REF!</definedName>
    <definedName name="SupervisorRate">#REF!</definedName>
    <definedName name="TotalMarket" localSheetId="1">'[2]QRTP Assumptions'!#REF!</definedName>
    <definedName name="TotalMarket">#REF!</definedName>
    <definedName name="TotalMarketCost" localSheetId="2">#REF!</definedName>
    <definedName name="TotalMarketCost" localSheetId="4">#REF!</definedName>
    <definedName name="TotalMarketCost" localSheetId="1">'[1]P&amp;L'!$B$20</definedName>
    <definedName name="TotalMarketCost" localSheetId="3">#REF!</definedName>
    <definedName name="TotalMarketCost">#REF!</definedName>
    <definedName name="TotalWageCostYr" localSheetId="2">#REF!</definedName>
    <definedName name="TotalWageCostYr" localSheetId="4">#REF!</definedName>
    <definedName name="TotalWageCostYr" localSheetId="1">'[1]P&amp;L'!$C$44</definedName>
    <definedName name="TotalWageCostYr" localSheetId="3">#REF!</definedName>
    <definedName name="TotalWageCostYr">#REF!</definedName>
    <definedName name="TotalWageMonthly" localSheetId="2">#REF!</definedName>
    <definedName name="TotalWageMonthly" localSheetId="4">#REF!</definedName>
    <definedName name="TotalWageMonthly" localSheetId="1">'[1]P&amp;L'!$B$44</definedName>
    <definedName name="TotalWageMonthly" localSheetId="3">#REF!</definedName>
    <definedName name="TotalWageMonthly">#REF!</definedName>
    <definedName name="TypeValidation" localSheetId="1">[6]Validation!$B$2:$B$7</definedName>
    <definedName name="TypeValidation">#REF!</definedName>
    <definedName name="Utilities" localSheetId="2">#REF!</definedName>
    <definedName name="Utilities" localSheetId="4">#REF!</definedName>
    <definedName name="Utilities" localSheetId="1">[1]Assumptions!$B$52</definedName>
    <definedName name="Utilities" localSheetId="3">#REF!</definedName>
    <definedName name="Utilities">#REF!</definedName>
    <definedName name="UtilitiesYr" localSheetId="2">#REF!</definedName>
    <definedName name="UtilitiesYr" localSheetId="4">#REF!</definedName>
    <definedName name="UtilitiesYr" localSheetId="1">'[1]P&amp;L'!$C$15</definedName>
    <definedName name="UtilitiesYr" localSheetId="3">#REF!</definedName>
    <definedName name="UtilitiesYr">#REF!</definedName>
    <definedName name="Vehicle" localSheetId="2">#REF!</definedName>
    <definedName name="Vehicle" localSheetId="4">#REF!</definedName>
    <definedName name="Vehicle" localSheetId="1">[1]Assumptions!$B$40</definedName>
    <definedName name="Vehicle" localSheetId="3">#REF!</definedName>
    <definedName name="Vehicle">#REF!</definedName>
    <definedName name="VehicleYr" localSheetId="2">#REF!</definedName>
    <definedName name="VehicleYr" localSheetId="4">#REF!</definedName>
    <definedName name="VehicleYr" localSheetId="1">'[1]P&amp;L'!$C$8</definedName>
    <definedName name="VehicleYr" localSheetId="3">#REF!</definedName>
    <definedName name="VehicleYr">#REF!</definedName>
    <definedName name="W_A_B_O_" localSheetId="2">#REF!</definedName>
    <definedName name="W_A_B_O_" localSheetId="4">#REF!</definedName>
    <definedName name="W_A_B_O_" localSheetId="1">'[1]P&amp;L'!#REF!</definedName>
    <definedName name="W_A_B_O_" localSheetId="3">#REF!</definedName>
    <definedName name="W_A_B_O_">#REF!</definedName>
    <definedName name="WA_B_O_Taxs" localSheetId="2">#REF!</definedName>
    <definedName name="WA_B_O_Taxs" localSheetId="4">#REF!</definedName>
    <definedName name="WA_B_O_Taxs" localSheetId="1">[1]Assumptions!$B$36</definedName>
    <definedName name="WA_B_O_Taxs" localSheetId="3">#REF!</definedName>
    <definedName name="WA_B_O_Taxs">#REF!</definedName>
    <definedName name="WA_BO_Tax" localSheetId="2">#REF!</definedName>
    <definedName name="WA_BO_Tax" localSheetId="4">#REF!</definedName>
    <definedName name="WA_BO_Tax" localSheetId="1">[1]Assumptions!#REF!</definedName>
    <definedName name="WA_BO_Tax" localSheetId="3">#REF!</definedName>
    <definedName name="WA_BO_Tax">#REF!</definedName>
    <definedName name="WA_BO_Taxes" localSheetId="2">#REF!</definedName>
    <definedName name="WA_BO_Taxes" localSheetId="4">#REF!</definedName>
    <definedName name="WA_BO_Taxes" localSheetId="1">[1]Assumptions!#REF!</definedName>
    <definedName name="WA_BO_Taxes" localSheetId="3">#REF!</definedName>
    <definedName name="WA_BO_Taxes">#REF!</definedName>
    <definedName name="WABO" localSheetId="2">#REF!</definedName>
    <definedName name="WABO" localSheetId="4">#REF!</definedName>
    <definedName name="WABO" localSheetId="1">[1]Assumptions!#REF!</definedName>
    <definedName name="WABO" localSheetId="3">#REF!</definedName>
    <definedName name="WABO">#REF!</definedName>
    <definedName name="WABOTax" localSheetId="2">#REF!</definedName>
    <definedName name="WABOTax" localSheetId="4">#REF!</definedName>
    <definedName name="WABOTax" localSheetId="1">'[1]P&amp;L'!#REF!</definedName>
    <definedName name="WABOTax" localSheetId="3">#REF!</definedName>
    <definedName name="WABOTax">#REF!</definedName>
    <definedName name="Washington_B_O_Tax" localSheetId="2">#REF!</definedName>
    <definedName name="Washington_B_O_Tax" localSheetId="4">#REF!</definedName>
    <definedName name="Washington_B_O_Tax" localSheetId="1">[1]Assumptions!#REF!</definedName>
    <definedName name="Washington_B_O_Tax" localSheetId="3">#REF!</definedName>
    <definedName name="Washington_B_O_Tax">#REF!</definedName>
    <definedName name="YrsEdu" localSheetId="1">'[1]P&amp;L'!#REF!</definedName>
    <definedName name="YrsEd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5" l="1"/>
  <c r="E13" i="25"/>
  <c r="E14" i="25"/>
  <c r="E15" i="25"/>
  <c r="E16" i="25"/>
  <c r="E17" i="25"/>
  <c r="E18" i="25"/>
  <c r="E19" i="25"/>
  <c r="E20" i="25"/>
  <c r="E21" i="25"/>
  <c r="E22" i="25"/>
  <c r="E23" i="25"/>
  <c r="E11" i="25"/>
  <c r="D23" i="25"/>
  <c r="F33" i="9" l="1"/>
  <c r="G15" i="23"/>
  <c r="G9" i="23"/>
  <c r="G4" i="23"/>
  <c r="D33" i="9" l="1"/>
  <c r="B33" i="9" s="1"/>
  <c r="C49" i="9" l="1"/>
  <c r="C57" i="9"/>
  <c r="D43" i="9"/>
  <c r="B19" i="9"/>
  <c r="C9" i="10" l="1"/>
  <c r="E9" i="10" l="1"/>
  <c r="C48" i="9"/>
  <c r="C17" i="9" l="1"/>
  <c r="C18" i="9"/>
  <c r="C16" i="9"/>
  <c r="C41" i="11" l="1"/>
  <c r="D41" i="11" s="1"/>
  <c r="C40" i="11"/>
  <c r="D40" i="11" s="1"/>
  <c r="C39" i="11"/>
  <c r="D39" i="11" s="1"/>
  <c r="E30" i="11"/>
  <c r="E31" i="11" s="1"/>
  <c r="E32" i="11" s="1"/>
  <c r="C59" i="9"/>
  <c r="B57" i="9"/>
  <c r="B58" i="9"/>
  <c r="B56" i="9"/>
  <c r="C56" i="9" s="1"/>
  <c r="B51" i="9"/>
  <c r="C51" i="9" s="1"/>
  <c r="B55" i="9"/>
  <c r="C55" i="9" s="1"/>
  <c r="B54" i="9"/>
  <c r="C54" i="9" s="1"/>
  <c r="B53" i="9"/>
  <c r="C53" i="9" s="1"/>
  <c r="B52" i="9"/>
  <c r="C52" i="9" s="1"/>
  <c r="B50" i="9"/>
  <c r="C50" i="9" s="1"/>
  <c r="D46" i="9"/>
  <c r="C46" i="9" s="1"/>
  <c r="B46" i="9" s="1"/>
  <c r="D45" i="9"/>
  <c r="B44" i="9"/>
  <c r="C44" i="9" s="1"/>
  <c r="B32" i="9"/>
  <c r="C8" i="10" s="1"/>
  <c r="F31" i="9"/>
  <c r="D31" i="9" s="1"/>
  <c r="B30" i="9"/>
  <c r="C6" i="10" s="1"/>
  <c r="G12" i="23" l="1"/>
  <c r="B36" i="9"/>
  <c r="D36" i="9" s="1"/>
  <c r="B37" i="9"/>
  <c r="E6" i="10"/>
  <c r="E8" i="10"/>
  <c r="D30" i="11"/>
  <c r="F30" i="11"/>
  <c r="F31" i="11" s="1"/>
  <c r="F32" i="11" s="1"/>
  <c r="F33" i="11" s="1"/>
  <c r="E34" i="11"/>
  <c r="E33" i="11"/>
  <c r="B31" i="9"/>
  <c r="C7" i="10" s="1"/>
  <c r="C13" i="10" l="1"/>
  <c r="E13" i="10" s="1"/>
  <c r="D37" i="9"/>
  <c r="D31" i="11"/>
  <c r="D32" i="11" s="1"/>
  <c r="D34" i="11" s="1"/>
  <c r="G30" i="11"/>
  <c r="C12" i="10"/>
  <c r="E12" i="10" s="1"/>
  <c r="E7" i="10"/>
  <c r="F34" i="11"/>
  <c r="D34" i="9" l="1"/>
  <c r="G31" i="11"/>
  <c r="G34" i="11"/>
  <c r="D33" i="11"/>
  <c r="G33" i="11" s="1"/>
  <c r="G32" i="11"/>
  <c r="C42" i="9" l="1"/>
  <c r="B42" i="9" s="1"/>
  <c r="B34" i="9"/>
  <c r="D35" i="9"/>
  <c r="D38" i="9" s="1"/>
  <c r="B35" i="9" l="1"/>
  <c r="C11" i="10" s="1"/>
  <c r="E11" i="10" s="1"/>
  <c r="C43" i="9"/>
  <c r="B43" i="9" s="1"/>
  <c r="C45" i="9"/>
  <c r="B45" i="9" s="1"/>
  <c r="B47" i="9"/>
  <c r="C47" i="9" s="1"/>
  <c r="C10" i="10"/>
  <c r="C21" i="10" l="1"/>
  <c r="G20" i="23"/>
  <c r="B38" i="9"/>
  <c r="E10" i="10"/>
  <c r="E14" i="10" s="1"/>
  <c r="C14" i="10"/>
  <c r="C17" i="10" l="1"/>
  <c r="C18" i="10"/>
  <c r="E18" i="10" s="1"/>
  <c r="E17" i="10" l="1"/>
  <c r="G18" i="23"/>
  <c r="G11" i="23"/>
  <c r="G16" i="23"/>
  <c r="G17" i="23"/>
  <c r="G10" i="23"/>
  <c r="G6" i="23"/>
  <c r="G5" i="23"/>
  <c r="G19" i="23"/>
  <c r="G14" i="23" l="1"/>
  <c r="G8" i="23"/>
  <c r="G21" i="23"/>
  <c r="F24" i="23" s="1"/>
  <c r="G24" i="23" s="1"/>
  <c r="B60" i="9" l="1"/>
  <c r="C60" i="9"/>
  <c r="E21" i="10" l="1"/>
  <c r="C16" i="10"/>
  <c r="E16" i="10" l="1"/>
  <c r="E19" i="10" s="1"/>
  <c r="C19" i="10"/>
  <c r="C23" i="10" s="1"/>
  <c r="D9" i="10" s="1"/>
  <c r="D10" i="10" l="1"/>
  <c r="D19" i="10"/>
  <c r="D6" i="10"/>
  <c r="D16" i="10"/>
  <c r="E23" i="10"/>
  <c r="D14" i="10"/>
  <c r="D11" i="10"/>
  <c r="C24" i="10"/>
  <c r="D18" i="10"/>
  <c r="D21" i="10"/>
  <c r="D8" i="10"/>
  <c r="D7" i="10"/>
  <c r="D17" i="10"/>
  <c r="D12" i="10"/>
  <c r="D13" i="10"/>
  <c r="D26" i="10" l="1"/>
  <c r="C8" i="24" s="1"/>
  <c r="D23" i="10"/>
  <c r="C28" i="10"/>
  <c r="C29" i="10" s="1"/>
  <c r="D27" i="10" l="1"/>
  <c r="C9" i="24" s="1"/>
  <c r="F23" i="25" l="1"/>
  <c r="G23" i="25" s="1"/>
  <c r="F22" i="25"/>
  <c r="F21" i="25"/>
  <c r="F20" i="25"/>
  <c r="F19" i="25"/>
  <c r="F18" i="25"/>
  <c r="F17" i="25"/>
  <c r="F16" i="25"/>
  <c r="F15" i="25"/>
  <c r="F14" i="25"/>
  <c r="F13" i="25"/>
  <c r="F12" i="25"/>
  <c r="F11" i="25"/>
  <c r="D21" i="25" l="1"/>
  <c r="G21" i="25" s="1"/>
  <c r="D22" i="25"/>
  <c r="G22" i="25" s="1"/>
  <c r="D20" i="25"/>
  <c r="G20" i="25" s="1"/>
  <c r="D19" i="25"/>
  <c r="G19" i="25" s="1"/>
  <c r="D18" i="25"/>
  <c r="G18" i="25" s="1"/>
  <c r="D17" i="25"/>
  <c r="G17" i="25" s="1"/>
  <c r="D13" i="25"/>
  <c r="G13" i="25" s="1"/>
  <c r="D14" i="25"/>
  <c r="G14" i="25" s="1"/>
  <c r="D16" i="25"/>
  <c r="G16" i="25" s="1"/>
  <c r="D15" i="25"/>
  <c r="G15" i="25" s="1"/>
  <c r="D11" i="25"/>
  <c r="D12" i="25"/>
  <c r="G12" i="25" s="1"/>
  <c r="G11" i="25" l="1"/>
</calcChain>
</file>

<file path=xl/sharedStrings.xml><?xml version="1.0" encoding="utf-8"?>
<sst xmlns="http://schemas.openxmlformats.org/spreadsheetml/2006/main" count="215" uniqueCount="178">
  <si>
    <t>Staff Costs</t>
  </si>
  <si>
    <t>Assumptions: The following are used to drive the model and may be changed here to impact the modeling.</t>
  </si>
  <si>
    <t>Number of Beds Per Facility:</t>
  </si>
  <si>
    <t xml:space="preserve">Taxes </t>
  </si>
  <si>
    <t>Type of Taxes</t>
  </si>
  <si>
    <t>Yearly</t>
  </si>
  <si>
    <t>Notes</t>
  </si>
  <si>
    <t xml:space="preserve">Federal </t>
  </si>
  <si>
    <t>Payroll Taxes</t>
  </si>
  <si>
    <t>Washington B&amp;O Tax</t>
  </si>
  <si>
    <t>Benefits and Training</t>
  </si>
  <si>
    <t>Type of Benefits</t>
  </si>
  <si>
    <t>Hours or Dollars (Yearly)</t>
  </si>
  <si>
    <t>% of 2080 Hrs (Yearly)</t>
  </si>
  <si>
    <t>PTO - 120 hrs yearly</t>
  </si>
  <si>
    <t>Holliday - 88 hrs yearly</t>
  </si>
  <si>
    <t>Training - 40 hrs yearly</t>
  </si>
  <si>
    <t>Staff to Kid Ratio</t>
  </si>
  <si>
    <t>Shifts</t>
  </si>
  <si>
    <t>Ratio</t>
  </si>
  <si>
    <t>Daytime Staff (8AM to Midnight)</t>
  </si>
  <si>
    <t>1:3</t>
  </si>
  <si>
    <t>1 DCS 8AM to 5pm + 1 PM; 2 DCS 5pm to Midnight</t>
  </si>
  <si>
    <t>Overnight (Midnight to 7AM)</t>
  </si>
  <si>
    <t>Weekend</t>
  </si>
  <si>
    <t>2 DCS 8AM to Midnight</t>
  </si>
  <si>
    <t>Position</t>
  </si>
  <si>
    <t># of Hrs/Month</t>
  </si>
  <si>
    <t>Hourly Rate</t>
  </si>
  <si>
    <t>Total FTE</t>
  </si>
  <si>
    <t>Based on 2080 Working Hr Per Year Calculation. Paid Time Off (PTO), Holiday are included for all positions, DCS PTO, holidays and training are calculated Separately as "Direct Care Staff (DCS) Benefits/Relief Coverage</t>
  </si>
  <si>
    <t>WA-State</t>
  </si>
  <si>
    <t>Executive*</t>
  </si>
  <si>
    <t>Directors*</t>
  </si>
  <si>
    <t>1:6 supervision</t>
  </si>
  <si>
    <t>Supervisor/PM*</t>
  </si>
  <si>
    <t>Case Manager</t>
  </si>
  <si>
    <t>Direct Care Staff</t>
  </si>
  <si>
    <t>Direct Care Relief/Coverage</t>
  </si>
  <si>
    <t>Administrative*</t>
  </si>
  <si>
    <t>.5 hr per youth per week</t>
  </si>
  <si>
    <t>BRS = 1</t>
  </si>
  <si>
    <t>Maintenance Staff Expense*</t>
  </si>
  <si>
    <t>20% per home</t>
  </si>
  <si>
    <t>BRS = .33</t>
  </si>
  <si>
    <t>Sub-Total</t>
  </si>
  <si>
    <t>Overhead Costs</t>
  </si>
  <si>
    <t>Cost Items</t>
  </si>
  <si>
    <t>Monthly</t>
  </si>
  <si>
    <t>Notes - meets or exceed WCAF recommendations</t>
  </si>
  <si>
    <t>Costs for staff training</t>
  </si>
  <si>
    <t>Per staff, assuming all staff are part time</t>
  </si>
  <si>
    <t xml:space="preserve">Car &amp; Truck Expenses </t>
  </si>
  <si>
    <t>Miles per month per youth at OFM mileage Per Diem Rate 2023. 250 Miles based on WCAF recommendations</t>
  </si>
  <si>
    <t>Per FTE</t>
  </si>
  <si>
    <t>Insurance (except health) liability/prop</t>
  </si>
  <si>
    <t>Fixed cost</t>
  </si>
  <si>
    <t>Bookkeeping Services</t>
  </si>
  <si>
    <t>Scale to staffing</t>
  </si>
  <si>
    <t>Attorney/CPA</t>
  </si>
  <si>
    <t>Office Expense</t>
  </si>
  <si>
    <t>per Bed per month</t>
  </si>
  <si>
    <t>Medical Equipment</t>
  </si>
  <si>
    <t>Food &amp; Beverage</t>
  </si>
  <si>
    <t>Child/Youth Incidentals, activities &amp; supplies**</t>
  </si>
  <si>
    <t>Utilities (phone,electric,cable)</t>
  </si>
  <si>
    <t>Staff Equipment</t>
  </si>
  <si>
    <t>Rental Costs*</t>
  </si>
  <si>
    <t>Additional Notes</t>
  </si>
  <si>
    <t>Position includes Paid Time Leave (PTO), Holidays**</t>
  </si>
  <si>
    <t>items requiring contract change**</t>
  </si>
  <si>
    <t>Direct Care Staffing Schedule (Updated June, 2023)</t>
  </si>
  <si>
    <t>Shift Start Time</t>
  </si>
  <si>
    <t>Weekday staff (Not including PM/Supervisor)</t>
  </si>
  <si>
    <t>Weekends</t>
  </si>
  <si>
    <t>Overnight</t>
  </si>
  <si>
    <t>AM</t>
  </si>
  <si>
    <t>PM</t>
  </si>
  <si>
    <t>AM (Overnight)</t>
  </si>
  <si>
    <t>Sum of hours</t>
  </si>
  <si>
    <t>x # of Days (weekly)</t>
  </si>
  <si>
    <t>x 52 (annual)</t>
  </si>
  <si>
    <t>/ 12 (monthly)</t>
  </si>
  <si>
    <t>FTE 2080</t>
  </si>
  <si>
    <t>Hours Yearly</t>
  </si>
  <si>
    <t xml:space="preserve">Coverage </t>
  </si>
  <si>
    <t xml:space="preserve">PTO </t>
  </si>
  <si>
    <t>Holliday</t>
  </si>
  <si>
    <t>Training</t>
  </si>
  <si>
    <t>% of Monthly Cost</t>
  </si>
  <si>
    <t xml:space="preserve">Yearly  </t>
  </si>
  <si>
    <t>Direct Care Supervisor/Program Manager*</t>
  </si>
  <si>
    <t>Personnel</t>
  </si>
  <si>
    <t>Overhead</t>
  </si>
  <si>
    <t>ATLP Program Costs</t>
  </si>
  <si>
    <t>ATLP Per bed Rate (Monthly)</t>
  </si>
  <si>
    <t>Slot</t>
  </si>
  <si>
    <t>FFS</t>
  </si>
  <si>
    <t>Staff Health Insurance</t>
  </si>
  <si>
    <t>Facility Repairs &amp; Materials</t>
  </si>
  <si>
    <t>Household supplies/Basic Clothing Necessititess</t>
  </si>
  <si>
    <t>2 DCS Midnight to 7AM</t>
  </si>
  <si>
    <t xml:space="preserve">Professional Development </t>
  </si>
  <si>
    <t>Per FTE Per Year</t>
  </si>
  <si>
    <t>Per fTE</t>
  </si>
  <si>
    <t>Recruitment Costs &amp; Materials</t>
  </si>
  <si>
    <t>Licenses &amp; Permits</t>
  </si>
  <si>
    <t>1:20 caseload (Bed/20)</t>
  </si>
  <si>
    <t>Updated ATLP Rate As of August, 2023</t>
  </si>
  <si>
    <t>ATLP Rate Summary  (Updated August, 2023)</t>
  </si>
  <si>
    <t>Staff Health Insurance, Dental and Vision per FTE per year</t>
  </si>
  <si>
    <t>Monthly Rate</t>
  </si>
  <si>
    <t>Service Development activities</t>
  </si>
  <si>
    <t>Month 3</t>
  </si>
  <si>
    <t>Facility</t>
  </si>
  <si>
    <t xml:space="preserve">Facility </t>
  </si>
  <si>
    <t>CM</t>
  </si>
  <si>
    <t>Staff</t>
  </si>
  <si>
    <t>a. Policy and procedures</t>
  </si>
  <si>
    <t>b. Prepare for facility walk through</t>
  </si>
  <si>
    <t>a. Forms</t>
  </si>
  <si>
    <t>b. Facility preparation for final inspection</t>
  </si>
  <si>
    <t>c. Admin files</t>
  </si>
  <si>
    <t>a. Hire staff</t>
  </si>
  <si>
    <t>b. Staff training and orientation</t>
  </si>
  <si>
    <t>c. all final forms completed and submitted to LD Final</t>
  </si>
  <si>
    <t>d. advertising</t>
  </si>
  <si>
    <t xml:space="preserve">advertising </t>
  </si>
  <si>
    <t>Dir</t>
  </si>
  <si>
    <t>d. doors open</t>
  </si>
  <si>
    <t xml:space="preserve">Maximum Reimbursable </t>
  </si>
  <si>
    <t>Resource</t>
  </si>
  <si>
    <t>Step 1</t>
  </si>
  <si>
    <t>step 2</t>
  </si>
  <si>
    <t xml:space="preserve"> Step 1 Total </t>
  </si>
  <si>
    <t xml:space="preserve">Step 2 Total </t>
  </si>
  <si>
    <t xml:space="preserve">Step 3 Total </t>
  </si>
  <si>
    <t>WASHINGTON STATE DEPARTMENT OF CHILDREN, YOUTH, AND FAMILIES</t>
  </si>
  <si>
    <t>Capacity Rate</t>
  </si>
  <si>
    <t>Monthly Occupancy Rate per bed</t>
  </si>
  <si>
    <t>Monthly Base Rate per bed</t>
  </si>
  <si>
    <t>July - Sept 2024</t>
  </si>
  <si>
    <t>Placement Acceptance Rate</t>
  </si>
  <si>
    <t>Oct - Dec 2024</t>
  </si>
  <si>
    <t>Jan - Mar 2025</t>
  </si>
  <si>
    <t>Apr 2025 - forward</t>
  </si>
  <si>
    <t xml:space="preserve">Direct Care staff Yearly Wages and Benefits </t>
  </si>
  <si>
    <t>Snohomish</t>
  </si>
  <si>
    <t>Northwest</t>
  </si>
  <si>
    <t>Olympic</t>
  </si>
  <si>
    <t>Seattle-King</t>
  </si>
  <si>
    <t>Tacoma-Pierce</t>
  </si>
  <si>
    <t>Southwest</t>
  </si>
  <si>
    <t>Eastern</t>
  </si>
  <si>
    <t>Spokane</t>
  </si>
  <si>
    <t>WA-State*</t>
  </si>
  <si>
    <t>Regional**</t>
  </si>
  <si>
    <t>*Statewide average defined by BRS wage proviso of FY22</t>
  </si>
  <si>
    <t>Pacific Mountain</t>
  </si>
  <si>
    <t>South Central</t>
  </si>
  <si>
    <t>North Central</t>
  </si>
  <si>
    <t>Yearly PTO</t>
  </si>
  <si>
    <t xml:space="preserve">** To reflect regionalized staff  costs, each region is adjusted based on variance from statewide average within Psychiatric Technicians (29-2053). Regions where costs exceed WA State average where capped at state average. </t>
  </si>
  <si>
    <t>Benton Franklin</t>
  </si>
  <si>
    <t>Yearly Wage</t>
  </si>
  <si>
    <t>Yearly Health Insurance Contribution</t>
  </si>
  <si>
    <t xml:space="preserve">Total Yearly Compensation </t>
  </si>
  <si>
    <t>Hollidays</t>
  </si>
  <si>
    <t>Effective May 1, 2024</t>
  </si>
  <si>
    <t>Total- 34</t>
  </si>
  <si>
    <t>Region 1</t>
  </si>
  <si>
    <t>Region 3</t>
  </si>
  <si>
    <t xml:space="preserve">Region 2 </t>
  </si>
  <si>
    <t>Region 4</t>
  </si>
  <si>
    <t>Region 5</t>
  </si>
  <si>
    <t>Region 6</t>
  </si>
  <si>
    <t xml:space="preserve"> Bed Capacity Maximum</t>
  </si>
  <si>
    <t>Adolescent Transitional Living  Program (ATLP) - Published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</si>
</sst>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_);\(#,##0.0\)"/>
    <numFmt numFmtId="167" formatCode="0.000"/>
    <numFmt numFmtId="168" formatCode="hh:mm"/>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3"/>
      <color theme="1"/>
      <name val="Calibri"/>
      <family val="2"/>
      <scheme val="minor"/>
    </font>
    <font>
      <b/>
      <sz val="12"/>
      <color theme="1"/>
      <name val="Calibri"/>
      <family val="2"/>
      <scheme val="minor"/>
    </font>
    <font>
      <i/>
      <sz val="11"/>
      <color theme="1"/>
      <name val="Calibri"/>
      <family val="2"/>
      <scheme val="minor"/>
    </font>
    <font>
      <sz val="8"/>
      <color theme="1"/>
      <name val="Calibri"/>
      <family val="2"/>
      <scheme val="minor"/>
    </font>
    <font>
      <sz val="5"/>
      <color theme="1"/>
      <name val="Calibri"/>
      <family val="2"/>
      <scheme val="minor"/>
    </font>
    <font>
      <b/>
      <sz val="15"/>
      <color theme="3"/>
      <name val="Calibri"/>
      <family val="2"/>
      <scheme val="minor"/>
    </font>
    <font>
      <sz val="11"/>
      <color rgb="FF9C5700"/>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b/>
      <sz val="11"/>
      <color theme="4"/>
      <name val="Calibri"/>
      <family val="2"/>
      <scheme val="minor"/>
    </font>
    <font>
      <u/>
      <sz val="11"/>
      <color theme="10"/>
      <name val="Calibri"/>
      <family val="2"/>
      <scheme val="minor"/>
    </font>
    <font>
      <i/>
      <sz val="8"/>
      <color theme="1"/>
      <name val="Calibri"/>
      <family val="2"/>
      <scheme val="minor"/>
    </font>
    <font>
      <b/>
      <i/>
      <sz val="11"/>
      <color theme="1"/>
      <name val="Calibri"/>
      <family val="2"/>
      <scheme val="minor"/>
    </font>
    <font>
      <sz val="8"/>
      <name val="Calibri"/>
      <family val="2"/>
      <scheme val="minor"/>
    </font>
    <font>
      <b/>
      <sz val="14"/>
      <color theme="1"/>
      <name val="Calibri"/>
      <family val="2"/>
      <scheme val="minor"/>
    </font>
    <font>
      <sz val="11"/>
      <color rgb="FF000000"/>
      <name val="Calibri"/>
      <family val="2"/>
    </font>
    <font>
      <sz val="11"/>
      <name val="Calibri"/>
      <family val="2"/>
    </font>
  </fonts>
  <fills count="12">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EB9C"/>
      </patternFill>
    </fill>
    <fill>
      <patternFill patternType="solid">
        <fgColor theme="2" tint="-9.9978637043366805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39997558519241921"/>
        <bgColor indexed="64"/>
      </patternFill>
    </fill>
  </fills>
  <borders count="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style="thin">
        <color theme="4"/>
      </top>
      <bottom style="double">
        <color theme="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0">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9" fillId="0" borderId="16" applyNumberFormat="0" applyFill="0" applyAlignment="0" applyProtection="0"/>
    <xf numFmtId="0" fontId="10" fillId="4" borderId="0" applyNumberFormat="0" applyBorder="0" applyAlignment="0" applyProtection="0"/>
    <xf numFmtId="0" fontId="2" fillId="0" borderId="17" applyNumberFormat="0" applyFill="0" applyAlignment="0" applyProtection="0"/>
    <xf numFmtId="0" fontId="15" fillId="0" borderId="0" applyNumberFormat="0" applyFill="0" applyBorder="0" applyAlignment="0" applyProtection="0"/>
    <xf numFmtId="0" fontId="21" fillId="0" borderId="0"/>
  </cellStyleXfs>
  <cellXfs count="236">
    <xf numFmtId="0" fontId="0" fillId="0" borderId="0" xfId="0"/>
    <xf numFmtId="0" fontId="1" fillId="0" borderId="0" xfId="2"/>
    <xf numFmtId="0" fontId="0" fillId="0" borderId="0" xfId="0" applyAlignment="1">
      <alignment horizontal="left" indent="1"/>
    </xf>
    <xf numFmtId="9" fontId="0" fillId="0" borderId="0" xfId="0" applyNumberFormat="1"/>
    <xf numFmtId="0" fontId="2" fillId="0" borderId="0" xfId="0" applyFont="1"/>
    <xf numFmtId="0" fontId="0" fillId="0" borderId="10" xfId="0" applyBorder="1"/>
    <xf numFmtId="0" fontId="2" fillId="0" borderId="11" xfId="0" applyFont="1" applyBorder="1" applyAlignment="1">
      <alignment horizontal="center"/>
    </xf>
    <xf numFmtId="0" fontId="2" fillId="2" borderId="12" xfId="0" applyFont="1" applyFill="1" applyBorder="1" applyAlignment="1">
      <alignment horizontal="center"/>
    </xf>
    <xf numFmtId="0" fontId="5" fillId="0" borderId="0" xfId="0" applyFont="1"/>
    <xf numFmtId="165" fontId="0" fillId="0" borderId="0" xfId="4" applyNumberFormat="1" applyFont="1" applyFill="1" applyBorder="1"/>
    <xf numFmtId="166" fontId="0" fillId="0" borderId="13" xfId="3" applyNumberFormat="1" applyFont="1" applyFill="1" applyBorder="1" applyAlignment="1">
      <alignment horizontal="center"/>
    </xf>
    <xf numFmtId="0" fontId="7" fillId="0" borderId="0" xfId="0" applyFont="1"/>
    <xf numFmtId="0" fontId="8" fillId="0" borderId="0" xfId="0" applyFont="1"/>
    <xf numFmtId="5" fontId="0" fillId="0" borderId="0" xfId="0" applyNumberFormat="1"/>
    <xf numFmtId="7" fontId="0" fillId="0" borderId="0" xfId="0" applyNumberFormat="1"/>
    <xf numFmtId="0" fontId="0" fillId="0" borderId="3" xfId="0" applyBorder="1" applyAlignment="1">
      <alignment horizontal="center"/>
    </xf>
    <xf numFmtId="0" fontId="6" fillId="5" borderId="13" xfId="0" applyFont="1" applyFill="1" applyBorder="1" applyAlignment="1">
      <alignment horizontal="center"/>
    </xf>
    <xf numFmtId="0" fontId="0" fillId="0" borderId="13" xfId="0" applyBorder="1"/>
    <xf numFmtId="9" fontId="0" fillId="0" borderId="13" xfId="4" applyFont="1" applyFill="1" applyBorder="1"/>
    <xf numFmtId="165" fontId="0" fillId="0" borderId="13" xfId="4" applyNumberFormat="1" applyFont="1" applyFill="1" applyBorder="1"/>
    <xf numFmtId="0" fontId="0" fillId="2" borderId="13" xfId="0" applyFill="1" applyBorder="1" applyAlignment="1">
      <alignment horizontal="center"/>
    </xf>
    <xf numFmtId="9" fontId="0" fillId="0" borderId="13" xfId="4" applyFont="1" applyBorder="1" applyAlignment="1">
      <alignment horizontal="center"/>
    </xf>
    <xf numFmtId="5" fontId="0" fillId="0" borderId="0" xfId="3" applyNumberFormat="1" applyFont="1" applyFill="1" applyBorder="1" applyAlignment="1">
      <alignment horizontal="center"/>
    </xf>
    <xf numFmtId="164" fontId="6" fillId="0" borderId="13" xfId="0" applyNumberFormat="1" applyFont="1" applyBorder="1" applyAlignment="1">
      <alignment horizontal="center"/>
    </xf>
    <xf numFmtId="164" fontId="0" fillId="0" borderId="20" xfId="0" applyNumberFormat="1" applyBorder="1" applyAlignment="1">
      <alignment horizontal="left"/>
    </xf>
    <xf numFmtId="164" fontId="0" fillId="0" borderId="13" xfId="0" applyNumberFormat="1" applyBorder="1" applyAlignment="1">
      <alignment horizontal="left"/>
    </xf>
    <xf numFmtId="0" fontId="0" fillId="0" borderId="14" xfId="0" applyBorder="1"/>
    <xf numFmtId="0" fontId="0" fillId="0" borderId="9" xfId="0" applyBorder="1" applyAlignment="1">
      <alignment horizontal="center"/>
    </xf>
    <xf numFmtId="5" fontId="0" fillId="0" borderId="20" xfId="3" applyNumberFormat="1" applyFont="1" applyFill="1" applyBorder="1" applyAlignment="1">
      <alignment horizontal="center"/>
    </xf>
    <xf numFmtId="0" fontId="0" fillId="0" borderId="22" xfId="0" applyBorder="1" applyAlignment="1">
      <alignment wrapText="1"/>
    </xf>
    <xf numFmtId="0" fontId="0" fillId="0" borderId="19" xfId="0" applyBorder="1" applyAlignment="1">
      <alignment wrapText="1"/>
    </xf>
    <xf numFmtId="0" fontId="0" fillId="0" borderId="13" xfId="0" quotePrefix="1" applyBorder="1"/>
    <xf numFmtId="166" fontId="0" fillId="0" borderId="20" xfId="3" applyNumberFormat="1" applyFont="1" applyFill="1" applyBorder="1" applyAlignment="1">
      <alignment horizontal="center"/>
    </xf>
    <xf numFmtId="0" fontId="2" fillId="0" borderId="14" xfId="0" applyFont="1" applyBorder="1"/>
    <xf numFmtId="0" fontId="0" fillId="6" borderId="13" xfId="0" applyFill="1" applyBorder="1"/>
    <xf numFmtId="0" fontId="2" fillId="6" borderId="13" xfId="0" applyFont="1" applyFill="1" applyBorder="1"/>
    <xf numFmtId="9" fontId="0" fillId="0" borderId="0" xfId="4" applyFont="1"/>
    <xf numFmtId="7" fontId="2" fillId="0" borderId="0" xfId="0" applyNumberFormat="1" applyFont="1"/>
    <xf numFmtId="9" fontId="2" fillId="0" borderId="0" xfId="4" applyFont="1" applyAlignment="1">
      <alignment horizontal="center"/>
    </xf>
    <xf numFmtId="5" fontId="0" fillId="0" borderId="0" xfId="0" applyNumberFormat="1" applyAlignment="1">
      <alignment horizontal="center"/>
    </xf>
    <xf numFmtId="0" fontId="11" fillId="0" borderId="0" xfId="0" applyFont="1"/>
    <xf numFmtId="0" fontId="12" fillId="0" borderId="0" xfId="0" applyFont="1" applyAlignment="1">
      <alignment horizontal="center" wrapText="1"/>
    </xf>
    <xf numFmtId="0" fontId="0" fillId="0" borderId="0" xfId="0" applyAlignment="1">
      <alignment vertical="center"/>
    </xf>
    <xf numFmtId="20" fontId="11" fillId="0" borderId="0" xfId="0" applyNumberFormat="1" applyFont="1"/>
    <xf numFmtId="0" fontId="0" fillId="0" borderId="0" xfId="0" applyAlignment="1">
      <alignment vertical="center" wrapText="1"/>
    </xf>
    <xf numFmtId="0" fontId="11" fillId="0" borderId="0" xfId="0" applyFont="1" applyAlignment="1">
      <alignment wrapText="1"/>
    </xf>
    <xf numFmtId="167" fontId="0" fillId="0" borderId="0" xfId="0" applyNumberFormat="1" applyAlignment="1">
      <alignment horizontal="center"/>
    </xf>
    <xf numFmtId="2" fontId="0" fillId="0" borderId="0" xfId="0" applyNumberFormat="1" applyAlignment="1">
      <alignment horizontal="center"/>
    </xf>
    <xf numFmtId="167" fontId="0" fillId="0" borderId="1" xfId="0" applyNumberFormat="1" applyBorder="1" applyAlignment="1">
      <alignment horizontal="center"/>
    </xf>
    <xf numFmtId="0" fontId="2" fillId="0" borderId="0" xfId="0" applyFont="1" applyAlignment="1">
      <alignment horizontal="left"/>
    </xf>
    <xf numFmtId="2" fontId="0" fillId="0" borderId="0" xfId="0" applyNumberFormat="1"/>
    <xf numFmtId="0" fontId="0" fillId="0" borderId="0" xfId="0" applyAlignment="1">
      <alignment horizontal="center" wrapText="1"/>
    </xf>
    <xf numFmtId="6" fontId="0" fillId="2" borderId="13" xfId="0" applyNumberFormat="1" applyFill="1" applyBorder="1" applyAlignment="1">
      <alignment horizontal="center"/>
    </xf>
    <xf numFmtId="0" fontId="12" fillId="0" borderId="13" xfId="0" applyFont="1" applyBorder="1" applyAlignment="1">
      <alignment horizontal="center" wrapText="1"/>
    </xf>
    <xf numFmtId="0" fontId="12" fillId="7" borderId="13" xfId="0" applyFont="1" applyFill="1" applyBorder="1" applyAlignment="1">
      <alignment horizontal="center" wrapText="1"/>
    </xf>
    <xf numFmtId="0" fontId="13" fillId="0" borderId="13" xfId="0" applyFont="1" applyBorder="1"/>
    <xf numFmtId="0" fontId="11" fillId="0" borderId="25" xfId="0" applyFont="1" applyBorder="1"/>
    <xf numFmtId="0" fontId="11" fillId="0" borderId="20" xfId="0" applyFont="1" applyBorder="1"/>
    <xf numFmtId="0" fontId="0" fillId="0" borderId="22" xfId="0" applyBorder="1"/>
    <xf numFmtId="0" fontId="11" fillId="7" borderId="27" xfId="0" applyFont="1" applyFill="1" applyBorder="1"/>
    <xf numFmtId="0" fontId="11" fillId="0" borderId="24" xfId="0" applyFont="1" applyBorder="1"/>
    <xf numFmtId="0" fontId="0" fillId="0" borderId="18" xfId="0" applyBorder="1" applyAlignment="1">
      <alignment horizontal="right"/>
    </xf>
    <xf numFmtId="9" fontId="0" fillId="0" borderId="22" xfId="4" applyFont="1" applyBorder="1" applyAlignment="1">
      <alignment horizontal="center"/>
    </xf>
    <xf numFmtId="0" fontId="0" fillId="0" borderId="23" xfId="0" applyBorder="1" applyAlignment="1">
      <alignment horizontal="right"/>
    </xf>
    <xf numFmtId="9" fontId="0" fillId="0" borderId="19" xfId="4" applyFont="1" applyBorder="1" applyAlignment="1">
      <alignment horizontal="center"/>
    </xf>
    <xf numFmtId="0" fontId="0" fillId="8" borderId="0" xfId="0" applyFill="1" applyAlignment="1">
      <alignment horizontal="center"/>
    </xf>
    <xf numFmtId="0" fontId="0" fillId="8" borderId="10" xfId="0" applyFill="1" applyBorder="1" applyAlignment="1">
      <alignment horizontal="center"/>
    </xf>
    <xf numFmtId="0" fontId="0" fillId="0" borderId="15" xfId="0" applyBorder="1" applyAlignment="1">
      <alignment horizontal="center"/>
    </xf>
    <xf numFmtId="0" fontId="2" fillId="0" borderId="9" xfId="0" applyFont="1" applyBorder="1"/>
    <xf numFmtId="0" fontId="2" fillId="0" borderId="15" xfId="0" applyFont="1" applyBorder="1"/>
    <xf numFmtId="7" fontId="0" fillId="9" borderId="22" xfId="0" applyNumberFormat="1" applyFill="1" applyBorder="1"/>
    <xf numFmtId="0" fontId="0" fillId="9" borderId="25" xfId="0" applyFill="1" applyBorder="1"/>
    <xf numFmtId="0" fontId="11" fillId="9" borderId="24" xfId="0" applyFont="1" applyFill="1" applyBorder="1"/>
    <xf numFmtId="0" fontId="13" fillId="9" borderId="24" xfId="0" applyFont="1" applyFill="1" applyBorder="1"/>
    <xf numFmtId="0" fontId="11" fillId="9" borderId="0" xfId="0" applyFont="1" applyFill="1"/>
    <xf numFmtId="0" fontId="11" fillId="9" borderId="21" xfId="0" applyFont="1" applyFill="1" applyBorder="1"/>
    <xf numFmtId="0" fontId="11" fillId="9" borderId="10" xfId="0" applyFont="1" applyFill="1" applyBorder="1"/>
    <xf numFmtId="168" fontId="11" fillId="0" borderId="18" xfId="0" applyNumberFormat="1" applyFont="1" applyBorder="1"/>
    <xf numFmtId="168" fontId="11" fillId="0" borderId="23" xfId="0" applyNumberFormat="1" applyFont="1" applyBorder="1"/>
    <xf numFmtId="168" fontId="13" fillId="0" borderId="13" xfId="0" applyNumberFormat="1" applyFont="1" applyBorder="1"/>
    <xf numFmtId="168" fontId="11" fillId="7" borderId="26" xfId="0" applyNumberFormat="1" applyFont="1" applyFill="1" applyBorder="1"/>
    <xf numFmtId="168" fontId="11" fillId="7" borderId="18" xfId="0" applyNumberFormat="1" applyFont="1" applyFill="1" applyBorder="1"/>
    <xf numFmtId="168" fontId="11" fillId="7" borderId="23" xfId="0" applyNumberFormat="1" applyFont="1" applyFill="1" applyBorder="1"/>
    <xf numFmtId="0" fontId="0" fillId="0" borderId="19" xfId="0" applyBorder="1"/>
    <xf numFmtId="5" fontId="0" fillId="0" borderId="10" xfId="3" applyNumberFormat="1" applyFont="1" applyFill="1" applyBorder="1" applyAlignment="1">
      <alignment horizontal="center"/>
    </xf>
    <xf numFmtId="0" fontId="0" fillId="0" borderId="15" xfId="0" applyBorder="1" applyAlignment="1">
      <alignment wrapText="1"/>
    </xf>
    <xf numFmtId="5" fontId="0" fillId="0" borderId="24" xfId="3" applyNumberFormat="1" applyFont="1" applyFill="1" applyBorder="1" applyAlignment="1">
      <alignment horizontal="center"/>
    </xf>
    <xf numFmtId="38" fontId="0" fillId="2" borderId="24" xfId="0" applyNumberFormat="1" applyFill="1" applyBorder="1"/>
    <xf numFmtId="6" fontId="0" fillId="2" borderId="24" xfId="0" applyNumberFormat="1" applyFill="1" applyBorder="1"/>
    <xf numFmtId="0" fontId="10" fillId="4" borderId="18" xfId="6" applyBorder="1" applyAlignment="1"/>
    <xf numFmtId="0" fontId="10" fillId="4" borderId="22" xfId="6" applyBorder="1" applyAlignment="1"/>
    <xf numFmtId="0" fontId="10" fillId="4" borderId="23" xfId="6" applyBorder="1" applyAlignment="1">
      <alignment wrapText="1"/>
    </xf>
    <xf numFmtId="0" fontId="10" fillId="4" borderId="19" xfId="6" applyBorder="1" applyAlignment="1">
      <alignment wrapText="1"/>
    </xf>
    <xf numFmtId="6" fontId="0" fillId="2" borderId="20" xfId="0" applyNumberFormat="1" applyFill="1" applyBorder="1"/>
    <xf numFmtId="7" fontId="0" fillId="2" borderId="13" xfId="3" applyNumberFormat="1" applyFont="1" applyFill="1" applyBorder="1" applyAlignment="1">
      <alignment horizontal="center"/>
    </xf>
    <xf numFmtId="39" fontId="0" fillId="2" borderId="13" xfId="0" applyNumberFormat="1" applyFill="1" applyBorder="1" applyAlignment="1">
      <alignment horizontal="center"/>
    </xf>
    <xf numFmtId="39" fontId="0" fillId="2" borderId="13" xfId="3" applyNumberFormat="1" applyFont="1" applyFill="1" applyBorder="1" applyAlignment="1">
      <alignment horizontal="center"/>
    </xf>
    <xf numFmtId="0" fontId="6" fillId="0" borderId="13" xfId="0" applyFont="1" applyBorder="1" applyAlignment="1">
      <alignment horizontal="center" wrapText="1"/>
    </xf>
    <xf numFmtId="8" fontId="0" fillId="0" borderId="0" xfId="0" applyNumberFormat="1"/>
    <xf numFmtId="0" fontId="15" fillId="0" borderId="22" xfId="8" applyFill="1" applyBorder="1" applyAlignment="1">
      <alignment wrapText="1"/>
    </xf>
    <xf numFmtId="0" fontId="0" fillId="9" borderId="9" xfId="0" applyFill="1" applyBorder="1"/>
    <xf numFmtId="0" fontId="0" fillId="9" borderId="15" xfId="0" applyFill="1" applyBorder="1" applyAlignment="1">
      <alignment wrapText="1"/>
    </xf>
    <xf numFmtId="0" fontId="17" fillId="0" borderId="14" xfId="0" applyFont="1" applyBorder="1"/>
    <xf numFmtId="5" fontId="17" fillId="0" borderId="13" xfId="3" applyNumberFormat="1" applyFont="1" applyFill="1" applyBorder="1" applyAlignment="1">
      <alignment horizontal="center"/>
    </xf>
    <xf numFmtId="164" fontId="2" fillId="9" borderId="18" xfId="0" applyNumberFormat="1" applyFont="1" applyFill="1" applyBorder="1" applyAlignment="1">
      <alignment horizontal="right"/>
    </xf>
    <xf numFmtId="7" fontId="0" fillId="9" borderId="0" xfId="0" applyNumberFormat="1" applyFill="1"/>
    <xf numFmtId="165" fontId="0" fillId="9" borderId="0" xfId="0" applyNumberFormat="1" applyFill="1"/>
    <xf numFmtId="7" fontId="0" fillId="9" borderId="10" xfId="0" applyNumberFormat="1" applyFill="1" applyBorder="1"/>
    <xf numFmtId="165" fontId="0" fillId="9" borderId="10" xfId="0" applyNumberFormat="1" applyFill="1" applyBorder="1"/>
    <xf numFmtId="7" fontId="0" fillId="9" borderId="19" xfId="0" applyNumberFormat="1" applyFill="1" applyBorder="1"/>
    <xf numFmtId="7" fontId="0" fillId="10" borderId="0" xfId="0" applyNumberFormat="1" applyFill="1"/>
    <xf numFmtId="165" fontId="0" fillId="10" borderId="0" xfId="0" applyNumberFormat="1" applyFill="1"/>
    <xf numFmtId="7" fontId="0" fillId="10" borderId="22" xfId="0" applyNumberFormat="1" applyFill="1" applyBorder="1"/>
    <xf numFmtId="7" fontId="0" fillId="10" borderId="10" xfId="0" applyNumberFormat="1" applyFill="1" applyBorder="1"/>
    <xf numFmtId="165" fontId="0" fillId="10" borderId="10" xfId="0" applyNumberFormat="1" applyFill="1" applyBorder="1"/>
    <xf numFmtId="7" fontId="0" fillId="10" borderId="19" xfId="0" applyNumberFormat="1" applyFill="1" applyBorder="1"/>
    <xf numFmtId="0" fontId="0" fillId="10" borderId="18" xfId="0" applyFill="1" applyBorder="1" applyAlignment="1">
      <alignment horizontal="left" indent="1"/>
    </xf>
    <xf numFmtId="164" fontId="0" fillId="7" borderId="26" xfId="0" applyNumberFormat="1" applyFill="1" applyBorder="1" applyAlignment="1">
      <alignment horizontal="left" indent="1"/>
    </xf>
    <xf numFmtId="7" fontId="0" fillId="7" borderId="21" xfId="0" applyNumberFormat="1" applyFill="1" applyBorder="1"/>
    <xf numFmtId="165" fontId="0" fillId="7" borderId="0" xfId="0" applyNumberFormat="1" applyFill="1"/>
    <xf numFmtId="7" fontId="0" fillId="7" borderId="27" xfId="0" applyNumberFormat="1" applyFill="1" applyBorder="1"/>
    <xf numFmtId="164" fontId="0" fillId="7" borderId="18" xfId="0" applyNumberFormat="1" applyFill="1" applyBorder="1" applyAlignment="1">
      <alignment horizontal="left" indent="1"/>
    </xf>
    <xf numFmtId="7" fontId="0" fillId="7" borderId="0" xfId="0" applyNumberFormat="1" applyFill="1"/>
    <xf numFmtId="7" fontId="0" fillId="7" borderId="22" xfId="0" applyNumberFormat="1" applyFill="1" applyBorder="1"/>
    <xf numFmtId="164" fontId="2" fillId="9" borderId="23" xfId="0" applyNumberFormat="1" applyFont="1" applyFill="1" applyBorder="1" applyAlignment="1">
      <alignment horizontal="left"/>
    </xf>
    <xf numFmtId="164" fontId="2" fillId="10" borderId="18" xfId="0" applyNumberFormat="1" applyFont="1" applyFill="1" applyBorder="1" applyAlignment="1">
      <alignment horizontal="left"/>
    </xf>
    <xf numFmtId="0" fontId="2" fillId="11" borderId="23" xfId="0" applyFont="1" applyFill="1" applyBorder="1"/>
    <xf numFmtId="5" fontId="0" fillId="11" borderId="10" xfId="0" applyNumberFormat="1" applyFill="1" applyBorder="1"/>
    <xf numFmtId="7" fontId="0" fillId="11" borderId="19" xfId="0" applyNumberFormat="1" applyFill="1" applyBorder="1"/>
    <xf numFmtId="164" fontId="2" fillId="7" borderId="26" xfId="0" applyNumberFormat="1" applyFont="1" applyFill="1" applyBorder="1" applyAlignment="1">
      <alignment horizontal="left"/>
    </xf>
    <xf numFmtId="165" fontId="0" fillId="7" borderId="21" xfId="0" applyNumberFormat="1" applyFill="1" applyBorder="1"/>
    <xf numFmtId="0" fontId="0" fillId="10" borderId="23" xfId="0" applyFill="1" applyBorder="1" applyAlignment="1">
      <alignment horizontal="left" indent="1"/>
    </xf>
    <xf numFmtId="165" fontId="0" fillId="11" borderId="10" xfId="0" applyNumberFormat="1" applyFill="1" applyBorder="1"/>
    <xf numFmtId="0" fontId="2" fillId="0" borderId="26" xfId="0" applyFont="1" applyBorder="1"/>
    <xf numFmtId="7" fontId="2" fillId="0" borderId="21" xfId="0" applyNumberFormat="1" applyFont="1" applyBorder="1"/>
    <xf numFmtId="165" fontId="2" fillId="0" borderId="21" xfId="0" applyNumberFormat="1" applyFont="1" applyBorder="1"/>
    <xf numFmtId="7" fontId="2" fillId="0" borderId="27" xfId="0" applyNumberFormat="1" applyFont="1" applyBorder="1"/>
    <xf numFmtId="0" fontId="14" fillId="0" borderId="23" xfId="0" applyFont="1" applyBorder="1"/>
    <xf numFmtId="5" fontId="14" fillId="0" borderId="10" xfId="7" applyNumberFormat="1" applyFont="1" applyFill="1" applyBorder="1"/>
    <xf numFmtId="5" fontId="14" fillId="9" borderId="10" xfId="7" applyNumberFormat="1" applyFont="1" applyFill="1" applyBorder="1"/>
    <xf numFmtId="0" fontId="2" fillId="9" borderId="19" xfId="0" applyFont="1" applyFill="1" applyBorder="1"/>
    <xf numFmtId="164" fontId="2" fillId="3" borderId="15" xfId="1" applyNumberFormat="1" applyFont="1" applyFill="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2" fontId="2" fillId="0" borderId="6" xfId="0" applyNumberFormat="1" applyFont="1" applyBorder="1" applyAlignment="1">
      <alignment horizontal="center"/>
    </xf>
    <xf numFmtId="167" fontId="2" fillId="0" borderId="8" xfId="0" applyNumberFormat="1" applyFont="1" applyBorder="1" applyAlignment="1">
      <alignment horizontal="center"/>
    </xf>
    <xf numFmtId="0" fontId="0" fillId="0" borderId="13" xfId="0" applyBorder="1" applyAlignment="1">
      <alignment horizontal="center" wrapText="1"/>
    </xf>
    <xf numFmtId="6" fontId="0" fillId="0" borderId="0" xfId="0" applyNumberFormat="1"/>
    <xf numFmtId="0" fontId="2" fillId="0" borderId="0" xfId="0" applyFont="1" applyAlignment="1">
      <alignment horizontal="center"/>
    </xf>
    <xf numFmtId="0" fontId="6" fillId="0" borderId="13" xfId="0" applyFont="1" applyBorder="1" applyAlignment="1">
      <alignment horizontal="center"/>
    </xf>
    <xf numFmtId="0" fontId="4" fillId="0" borderId="0" xfId="0" applyFont="1" applyAlignment="1">
      <alignment horizontal="center" vertical="center" wrapText="1"/>
    </xf>
    <xf numFmtId="0" fontId="0" fillId="0" borderId="0" xfId="0" applyAlignment="1">
      <alignment horizontal="center"/>
    </xf>
    <xf numFmtId="0" fontId="0" fillId="0" borderId="13" xfId="0" applyBorder="1" applyAlignment="1">
      <alignment horizontal="center"/>
    </xf>
    <xf numFmtId="5" fontId="17" fillId="9" borderId="14" xfId="3" applyNumberFormat="1" applyFont="1" applyFill="1" applyBorder="1" applyAlignment="1"/>
    <xf numFmtId="5" fontId="17" fillId="9" borderId="9" xfId="3" applyNumberFormat="1" applyFont="1" applyFill="1" applyBorder="1" applyAlignment="1"/>
    <xf numFmtId="5" fontId="17" fillId="9" borderId="15" xfId="3" applyNumberFormat="1" applyFont="1" applyFill="1" applyBorder="1" applyAlignment="1"/>
    <xf numFmtId="0" fontId="0" fillId="0" borderId="24" xfId="0" applyBorder="1"/>
    <xf numFmtId="6" fontId="0" fillId="0" borderId="0" xfId="0" applyNumberFormat="1" applyAlignment="1">
      <alignment horizontal="center"/>
    </xf>
    <xf numFmtId="0" fontId="0" fillId="6" borderId="13" xfId="0" applyFill="1" applyBorder="1" applyAlignment="1">
      <alignment horizontal="center"/>
    </xf>
    <xf numFmtId="0" fontId="0" fillId="0" borderId="26" xfId="0" applyBorder="1" applyAlignment="1">
      <alignment horizontal="left" wrapText="1"/>
    </xf>
    <xf numFmtId="5" fontId="0" fillId="0" borderId="25" xfId="3" applyNumberFormat="1" applyFont="1" applyFill="1" applyBorder="1" applyAlignment="1">
      <alignment horizontal="center"/>
    </xf>
    <xf numFmtId="5" fontId="0" fillId="0" borderId="21" xfId="3" applyNumberFormat="1" applyFont="1" applyFill="1" applyBorder="1" applyAlignment="1">
      <alignment horizontal="center"/>
    </xf>
    <xf numFmtId="0" fontId="0" fillId="0" borderId="27" xfId="0" applyBorder="1" applyAlignment="1">
      <alignment wrapText="1"/>
    </xf>
    <xf numFmtId="20" fontId="0" fillId="0" borderId="13" xfId="0" quotePrefix="1" applyNumberFormat="1" applyBorder="1"/>
    <xf numFmtId="43" fontId="17" fillId="9" borderId="14" xfId="1" applyFont="1" applyFill="1" applyBorder="1" applyAlignment="1">
      <alignment vertical="center"/>
    </xf>
    <xf numFmtId="2" fontId="0" fillId="0" borderId="13" xfId="0" applyNumberFormat="1" applyBorder="1" applyAlignment="1">
      <alignment horizontal="center"/>
    </xf>
    <xf numFmtId="0" fontId="0" fillId="0" borderId="21" xfId="0" applyBorder="1" applyAlignment="1">
      <alignment horizontal="left" vertical="center" indent="2"/>
    </xf>
    <xf numFmtId="0" fontId="0" fillId="0" borderId="21" xfId="0" applyBorder="1"/>
    <xf numFmtId="5" fontId="0" fillId="0" borderId="27" xfId="0" applyNumberFormat="1" applyBorder="1"/>
    <xf numFmtId="0" fontId="0" fillId="0" borderId="18" xfId="0" applyBorder="1"/>
    <xf numFmtId="0" fontId="0" fillId="0" borderId="0" xfId="0" applyAlignment="1">
      <alignment horizontal="left" vertical="center" indent="2"/>
    </xf>
    <xf numFmtId="0" fontId="0" fillId="0" borderId="23" xfId="0" applyBorder="1"/>
    <xf numFmtId="7" fontId="0" fillId="0" borderId="22" xfId="0" applyNumberFormat="1" applyBorder="1"/>
    <xf numFmtId="5" fontId="0" fillId="0" borderId="22" xfId="0" applyNumberFormat="1" applyBorder="1"/>
    <xf numFmtId="5" fontId="2" fillId="0" borderId="19" xfId="0" applyNumberFormat="1" applyFont="1" applyBorder="1"/>
    <xf numFmtId="0" fontId="2" fillId="0" borderId="18" xfId="0" applyFont="1" applyBorder="1"/>
    <xf numFmtId="0" fontId="20" fillId="0" borderId="0" xfId="0" applyFont="1" applyAlignment="1">
      <alignment horizontal="center" vertical="center"/>
    </xf>
    <xf numFmtId="0" fontId="20" fillId="0" borderId="0" xfId="0" applyFont="1" applyAlignment="1">
      <alignment vertical="center"/>
    </xf>
    <xf numFmtId="1" fontId="20" fillId="0" borderId="0" xfId="0" quotePrefix="1" applyNumberFormat="1" applyFont="1" applyAlignment="1">
      <alignment vertical="center"/>
    </xf>
    <xf numFmtId="1" fontId="20" fillId="0" borderId="0" xfId="0" applyNumberFormat="1" applyFont="1" applyAlignment="1">
      <alignment vertical="center"/>
    </xf>
    <xf numFmtId="9" fontId="0" fillId="0" borderId="0" xfId="0" applyNumberFormat="1" applyAlignment="1">
      <alignment horizontal="center" wrapText="1"/>
    </xf>
    <xf numFmtId="0" fontId="0" fillId="0" borderId="5" xfId="0" applyBorder="1"/>
    <xf numFmtId="0" fontId="0" fillId="0" borderId="6" xfId="0" applyBorder="1"/>
    <xf numFmtId="0" fontId="2" fillId="0" borderId="5" xfId="0" applyFont="1" applyBorder="1"/>
    <xf numFmtId="0" fontId="2" fillId="0" borderId="6" xfId="0" applyFont="1" applyBorder="1" applyAlignment="1">
      <alignment horizontal="center" wrapText="1"/>
    </xf>
    <xf numFmtId="0" fontId="0" fillId="0" borderId="5" xfId="0" applyBorder="1" applyAlignment="1" applyProtection="1">
      <alignment horizontal="left" wrapText="1"/>
      <protection locked="0"/>
    </xf>
    <xf numFmtId="0" fontId="2" fillId="0" borderId="0" xfId="0" applyFont="1" applyAlignment="1">
      <alignment horizontal="center" wrapText="1"/>
    </xf>
    <xf numFmtId="7" fontId="0" fillId="0" borderId="0" xfId="0" applyNumberFormat="1" applyAlignment="1">
      <alignment horizontal="center"/>
    </xf>
    <xf numFmtId="6" fontId="0" fillId="0" borderId="6" xfId="0" applyNumberFormat="1" applyBorder="1" applyAlignment="1">
      <alignment horizontal="center"/>
    </xf>
    <xf numFmtId="0" fontId="2" fillId="0" borderId="29" xfId="0" applyFont="1" applyBorder="1" applyAlignment="1">
      <alignment wrapText="1"/>
    </xf>
    <xf numFmtId="0" fontId="2" fillId="0" borderId="30" xfId="0" applyFont="1" applyBorder="1" applyAlignment="1">
      <alignment wrapText="1"/>
    </xf>
    <xf numFmtId="0" fontId="2" fillId="0" borderId="31" xfId="0" applyFont="1" applyBorder="1" applyAlignment="1">
      <alignment wrapText="1"/>
    </xf>
    <xf numFmtId="0" fontId="0" fillId="0" borderId="7" xfId="0" applyBorder="1" applyAlignment="1" applyProtection="1">
      <alignment wrapText="1"/>
      <protection locked="0"/>
    </xf>
    <xf numFmtId="0" fontId="0" fillId="0" borderId="1" xfId="0" applyBorder="1" applyAlignment="1" applyProtection="1">
      <alignment wrapText="1"/>
      <protection locked="0"/>
    </xf>
    <xf numFmtId="0" fontId="0" fillId="0" borderId="8" xfId="0" applyBorder="1" applyAlignment="1" applyProtection="1">
      <alignment wrapText="1"/>
      <protection locked="0"/>
    </xf>
    <xf numFmtId="0" fontId="0" fillId="0" borderId="5" xfId="0" applyBorder="1" applyAlignment="1" applyProtection="1">
      <alignment wrapText="1"/>
      <protection locked="0"/>
    </xf>
    <xf numFmtId="0" fontId="0" fillId="0" borderId="0" xfId="0" applyAlignment="1" applyProtection="1">
      <alignment wrapText="1"/>
      <protection locked="0"/>
    </xf>
    <xf numFmtId="0" fontId="0" fillId="0" borderId="6" xfId="0" applyBorder="1" applyAlignment="1" applyProtection="1">
      <alignment wrapText="1"/>
      <protection locked="0"/>
    </xf>
    <xf numFmtId="6" fontId="2" fillId="0" borderId="6" xfId="0" applyNumberFormat="1" applyFont="1" applyBorder="1" applyAlignment="1">
      <alignment horizontal="center"/>
    </xf>
    <xf numFmtId="0" fontId="0" fillId="0" borderId="20" xfId="0" applyBorder="1" applyAlignment="1">
      <alignment horizontal="center"/>
    </xf>
    <xf numFmtId="0" fontId="0" fillId="0" borderId="25"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3" fillId="0" borderId="0" xfId="0" applyFont="1" applyAlignment="1">
      <alignment horizontal="center" vertical="center"/>
    </xf>
    <xf numFmtId="0" fontId="19" fillId="0" borderId="0" xfId="0" applyFont="1" applyAlignment="1">
      <alignment horizontal="center" vertical="center"/>
    </xf>
    <xf numFmtId="0" fontId="0" fillId="0" borderId="0" xfId="0"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10" fillId="4" borderId="26" xfId="6" applyBorder="1" applyAlignment="1">
      <alignment horizontal="center"/>
    </xf>
    <xf numFmtId="0" fontId="10" fillId="4" borderId="27" xfId="6" applyBorder="1" applyAlignment="1">
      <alignment horizontal="center"/>
    </xf>
    <xf numFmtId="0" fontId="0" fillId="2" borderId="28" xfId="0" applyFill="1" applyBorder="1" applyAlignment="1">
      <alignment horizontal="center"/>
    </xf>
    <xf numFmtId="0" fontId="0" fillId="2" borderId="12" xfId="0" applyFill="1" applyBorder="1" applyAlignment="1">
      <alignment horizontal="center"/>
    </xf>
    <xf numFmtId="0" fontId="16" fillId="5" borderId="14" xfId="0" applyFont="1" applyFill="1" applyBorder="1" applyAlignment="1">
      <alignment horizontal="center" wrapText="1"/>
    </xf>
    <xf numFmtId="0" fontId="16" fillId="5" borderId="15" xfId="0" applyFont="1" applyFill="1" applyBorder="1" applyAlignment="1">
      <alignment horizontal="center" wrapText="1"/>
    </xf>
    <xf numFmtId="0" fontId="5" fillId="0" borderId="23" xfId="0" applyFont="1" applyBorder="1" applyAlignment="1">
      <alignment horizontal="center"/>
    </xf>
    <xf numFmtId="0" fontId="5" fillId="0" borderId="10" xfId="0" applyFont="1" applyBorder="1" applyAlignment="1">
      <alignment horizontal="center"/>
    </xf>
    <xf numFmtId="0" fontId="5" fillId="0" borderId="19" xfId="0" applyFont="1" applyBorder="1" applyAlignment="1">
      <alignment horizontal="center"/>
    </xf>
    <xf numFmtId="164" fontId="3" fillId="0" borderId="14" xfId="0" applyNumberFormat="1" applyFont="1" applyBorder="1" applyAlignment="1">
      <alignment horizontal="left"/>
    </xf>
    <xf numFmtId="164" fontId="3" fillId="0" borderId="9" xfId="0" applyNumberFormat="1" applyFont="1" applyBorder="1" applyAlignment="1">
      <alignment horizontal="left"/>
    </xf>
    <xf numFmtId="0" fontId="9" fillId="0" borderId="16" xfId="5" applyAlignment="1">
      <alignment horizontal="center"/>
    </xf>
    <xf numFmtId="0" fontId="2" fillId="0" borderId="0" xfId="0" applyFont="1" applyAlignment="1">
      <alignment horizontal="center"/>
    </xf>
    <xf numFmtId="0" fontId="6" fillId="0" borderId="13" xfId="0" applyFont="1" applyBorder="1" applyAlignment="1">
      <alignment horizontal="center"/>
    </xf>
    <xf numFmtId="0" fontId="4" fillId="0" borderId="0" xfId="0" applyFont="1" applyAlignment="1">
      <alignment horizontal="center" vertical="center" wrapText="1"/>
    </xf>
    <xf numFmtId="0" fontId="5" fillId="0" borderId="18" xfId="0" applyFont="1" applyBorder="1" applyAlignment="1">
      <alignment horizontal="center"/>
    </xf>
    <xf numFmtId="0" fontId="5" fillId="0" borderId="0" xfId="0" applyFont="1" applyAlignment="1">
      <alignment horizontal="center"/>
    </xf>
    <xf numFmtId="0" fontId="9" fillId="0" borderId="0" xfId="5" applyBorder="1" applyAlignment="1">
      <alignment horizontal="center"/>
    </xf>
    <xf numFmtId="0" fontId="12" fillId="0" borderId="13" xfId="0" applyFont="1" applyBorder="1" applyAlignment="1">
      <alignment horizontal="center" vertical="center"/>
    </xf>
    <xf numFmtId="0" fontId="0" fillId="0" borderId="20" xfId="0" applyBorder="1" applyAlignment="1">
      <alignment horizontal="center"/>
    </xf>
    <xf numFmtId="0" fontId="0" fillId="0" borderId="13" xfId="0" applyBorder="1" applyAlignment="1">
      <alignment horizontal="center"/>
    </xf>
    <xf numFmtId="0" fontId="0" fillId="7" borderId="13" xfId="0" applyFill="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xf>
    <xf numFmtId="0" fontId="2" fillId="0" borderId="10" xfId="0" applyFont="1" applyBorder="1" applyAlignment="1">
      <alignment horizontal="right"/>
    </xf>
  </cellXfs>
  <cellStyles count="10">
    <cellStyle name="Comma" xfId="1" builtinId="3"/>
    <cellStyle name="Currency" xfId="3" builtinId="4"/>
    <cellStyle name="Heading 1" xfId="5" builtinId="16"/>
    <cellStyle name="Hyperlink" xfId="8" builtinId="8"/>
    <cellStyle name="Neutral" xfId="6" builtinId="28"/>
    <cellStyle name="Normal" xfId="0" builtinId="0"/>
    <cellStyle name="Normal 17" xfId="2" xr:uid="{560F1A37-1945-4B8B-AC6D-EB7120CD0DFE}"/>
    <cellStyle name="Normal 2" xfId="9" xr:uid="{CB9670AB-B595-40F8-9D79-BBA3E41C733F}"/>
    <cellStyle name="Percent" xfId="4" builtinId="5"/>
    <cellStyle name="Total" xfId="7" builtinId="2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342899</xdr:colOff>
      <xdr:row>3</xdr:row>
      <xdr:rowOff>9525</xdr:rowOff>
    </xdr:from>
    <xdr:to>
      <xdr:col>22</xdr:col>
      <xdr:colOff>4014</xdr:colOff>
      <xdr:row>24</xdr:row>
      <xdr:rowOff>371475</xdr:rowOff>
    </xdr:to>
    <xdr:pic>
      <xdr:nvPicPr>
        <xdr:cNvPr id="3" name="Picture 2">
          <a:extLst>
            <a:ext uri="{FF2B5EF4-FFF2-40B4-BE49-F238E27FC236}">
              <a16:creationId xmlns:a16="http://schemas.microsoft.com/office/drawing/2014/main" id="{0961CC6F-4829-4B8D-9CF9-8FE9994B2655}"/>
            </a:ext>
          </a:extLst>
        </xdr:cNvPr>
        <xdr:cNvPicPr>
          <a:picLocks noChangeAspect="1"/>
        </xdr:cNvPicPr>
      </xdr:nvPicPr>
      <xdr:blipFill>
        <a:blip xmlns:r="http://schemas.openxmlformats.org/officeDocument/2006/relationships" r:embed="rId1"/>
        <a:stretch>
          <a:fillRect/>
        </a:stretch>
      </xdr:blipFill>
      <xdr:spPr>
        <a:xfrm>
          <a:off x="6867524" y="781050"/>
          <a:ext cx="6976315" cy="4743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tes\EPS\WORKING%20EPS%20Residential%20Care%20Program%20%20Rate%20Model.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Rates\BRS\rate%20model\Residential%20Care%20Program%205.1.xlsx" TargetMode="External"/><Relationship Id="rId1" Type="http://schemas.openxmlformats.org/officeDocument/2006/relationships/externalLinkPath" Target="file:///F:\Rates\BRS\rate%20model\Residential%20Care%20Program%205.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ellytd\AppData\Local\Microsoft\Windows\INetCache\Content.Outlook\5EGBJKHN\EPS%20Residential%20Care%20Program%203.0.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stateofwa-my.sharepoint.com/personal/timothy_kelly_dcyf_wa_gov/Documents/Rate%20models%20and%20implementation/FEE%20TABLES/2024/EPS%20July%201%202024.xlsx" TargetMode="External"/><Relationship Id="rId1" Type="http://schemas.openxmlformats.org/officeDocument/2006/relationships/externalLinkPath" Target="https://stateofwa-my.sharepoint.com/personal/timothy_kelly_dcyf_wa_gov/Documents/Rate%20models%20and%20implementation/FEE%20TABLES/2024/EPS%20July%201%20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LLOTMENT/Forecasting%20and%20Financial%20Modeling/Charles%20Wang/Rate%20Setting/ATLP/Final%20Transitional%20living%20cost%20model%20-%20Finance_5.24.23_cw_t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delinsider.ssv.wa.lcl/Users/john.rich/Downloads/Import%20Template%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Budget%20Files%2023-25\23-25%20Operating%20DPs\307%202023-25%20PL%20Backup%20to%20OFM%20and%20Leg\PL-DS%20D.S.%20Compliance%20Copy%20of%20B23-25%20DP%20Data%20DS%20010%20C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P&amp;L"/>
      <sheetName val="Direct Care Schedule"/>
      <sheetName val="Rental Costs"/>
      <sheetName val="Cost of Living"/>
      <sheetName val="reference"/>
      <sheetName val="compare overhead"/>
      <sheetName val="broader consideration"/>
      <sheetName val="Usage"/>
      <sheetName val="overlap"/>
      <sheetName val="youth service lookup"/>
      <sheetName val="EPS client info"/>
      <sheetName val="Sheet4"/>
      <sheetName val="EPS service data"/>
    </sheetNames>
    <sheetDataSet>
      <sheetData sheetId="0">
        <row r="10">
          <cell r="B10">
            <v>12734.168928602126</v>
          </cell>
        </row>
        <row r="21">
          <cell r="C21">
            <v>8.6999999999999993</v>
          </cell>
          <cell r="D21">
            <v>134.42307692307693</v>
          </cell>
        </row>
        <row r="22">
          <cell r="C22">
            <v>58</v>
          </cell>
          <cell r="D22">
            <v>36</v>
          </cell>
        </row>
        <row r="23">
          <cell r="B23">
            <v>30</v>
          </cell>
          <cell r="C23">
            <v>173.3</v>
          </cell>
          <cell r="D23">
            <v>30</v>
          </cell>
        </row>
        <row r="24">
          <cell r="B24">
            <v>25</v>
          </cell>
          <cell r="C24">
            <v>615.29999999999995</v>
          </cell>
          <cell r="D24">
            <v>25</v>
          </cell>
        </row>
        <row r="25">
          <cell r="B25">
            <v>25</v>
          </cell>
          <cell r="C25">
            <v>667.3</v>
          </cell>
          <cell r="D25">
            <v>25</v>
          </cell>
        </row>
        <row r="26">
          <cell r="B26">
            <v>25</v>
          </cell>
          <cell r="C26">
            <v>158</v>
          </cell>
          <cell r="D26">
            <v>25</v>
          </cell>
        </row>
        <row r="27">
          <cell r="C27">
            <v>86.7</v>
          </cell>
          <cell r="D27">
            <v>22.692307692307693</v>
          </cell>
        </row>
        <row r="34">
          <cell r="B34">
            <v>0.2</v>
          </cell>
        </row>
        <row r="35">
          <cell r="B35">
            <v>0.24</v>
          </cell>
        </row>
        <row r="36">
          <cell r="B36">
            <v>1.4999999999999999E-2</v>
          </cell>
        </row>
        <row r="40">
          <cell r="B40">
            <v>400</v>
          </cell>
        </row>
        <row r="41">
          <cell r="B41">
            <v>500</v>
          </cell>
        </row>
        <row r="42">
          <cell r="B42">
            <v>726.15384615384619</v>
          </cell>
          <cell r="C42">
            <v>8713.8461538461543</v>
          </cell>
        </row>
        <row r="43">
          <cell r="B43">
            <v>500</v>
          </cell>
          <cell r="C43">
            <v>6000</v>
          </cell>
        </row>
        <row r="44">
          <cell r="B44">
            <v>75</v>
          </cell>
        </row>
        <row r="45">
          <cell r="B45">
            <v>300</v>
          </cell>
        </row>
        <row r="46">
          <cell r="B46">
            <v>720</v>
          </cell>
        </row>
        <row r="47">
          <cell r="B47">
            <v>300</v>
          </cell>
          <cell r="C47">
            <v>3600</v>
          </cell>
        </row>
        <row r="48">
          <cell r="B48">
            <v>120</v>
          </cell>
          <cell r="C48">
            <v>1440</v>
          </cell>
        </row>
        <row r="49">
          <cell r="B49">
            <v>1800</v>
          </cell>
          <cell r="C49">
            <v>21600</v>
          </cell>
        </row>
        <row r="51">
          <cell r="B51">
            <v>150</v>
          </cell>
          <cell r="C51">
            <v>1800</v>
          </cell>
        </row>
        <row r="52">
          <cell r="B52">
            <v>1002</v>
          </cell>
        </row>
        <row r="59">
          <cell r="B59">
            <v>3390</v>
          </cell>
        </row>
      </sheetData>
      <sheetData sheetId="1">
        <row r="4">
          <cell r="B4">
            <v>76405.013571612755</v>
          </cell>
          <cell r="C4">
            <v>916860.162859353</v>
          </cell>
        </row>
        <row r="8">
          <cell r="C8">
            <v>4800</v>
          </cell>
        </row>
        <row r="9">
          <cell r="C9">
            <v>6000</v>
          </cell>
        </row>
        <row r="12">
          <cell r="C12">
            <v>900</v>
          </cell>
        </row>
        <row r="13">
          <cell r="C13">
            <v>3600</v>
          </cell>
        </row>
        <row r="14">
          <cell r="C14">
            <v>8640</v>
          </cell>
        </row>
        <row r="15">
          <cell r="C15">
            <v>12024</v>
          </cell>
        </row>
        <row r="19">
          <cell r="B19">
            <v>3390</v>
          </cell>
        </row>
        <row r="20">
          <cell r="B20">
            <v>520</v>
          </cell>
        </row>
        <row r="34">
          <cell r="B34">
            <v>1169.4807692307693</v>
          </cell>
        </row>
        <row r="44">
          <cell r="B44">
            <v>46438.903846153844</v>
          </cell>
          <cell r="C44">
            <v>557266.84615384613</v>
          </cell>
        </row>
      </sheetData>
      <sheetData sheetId="2"/>
      <sheetData sheetId="3"/>
      <sheetData sheetId="4">
        <row r="3">
          <cell r="C3" t="str">
            <v>Occupation</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RTP Assumptions"/>
      <sheetName val="P&amp;L"/>
      <sheetName val="Direct Care Schedule"/>
      <sheetName val="Rental Costs"/>
      <sheetName val="Regional Wage Cost"/>
      <sheetName val="Capacity "/>
      <sheetName val="Sheet3"/>
      <sheetName val="utlization data"/>
    </sheetNames>
    <sheetDataSet>
      <sheetData sheetId="0">
        <row r="4">
          <cell r="B4">
            <v>6</v>
          </cell>
        </row>
      </sheetData>
      <sheetData sheetId="1">
        <row r="5">
          <cell r="B5">
            <v>101171.45999999999</v>
          </cell>
        </row>
        <row r="36">
          <cell r="B36">
            <v>3293.083333333333</v>
          </cell>
        </row>
        <row r="37">
          <cell r="B37">
            <v>5752.0320000000002</v>
          </cell>
        </row>
      </sheetData>
      <sheetData sheetId="2">
        <row r="38">
          <cell r="C38">
            <v>502.66666666666663</v>
          </cell>
        </row>
      </sheetData>
      <sheetData sheetId="3">
        <row r="2">
          <cell r="B2" t="str">
            <v>Snohomish</v>
          </cell>
        </row>
      </sheetData>
      <sheetData sheetId="4">
        <row r="7">
          <cell r="A7" t="str">
            <v>Snohomish</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P&amp;L"/>
      <sheetName val="Cost of Living"/>
      <sheetName val="Rental Costs"/>
      <sheetName val="Direct Care Schedule"/>
    </sheetNames>
    <sheetDataSet>
      <sheetData sheetId="0">
        <row r="4">
          <cell r="B4">
            <v>6</v>
          </cell>
        </row>
      </sheetData>
      <sheetData sheetId="1">
        <row r="4">
          <cell r="B4">
            <v>63000</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e Table"/>
      <sheetName val="Fair Wages"/>
      <sheetName val="EPS Cost Assumptions"/>
      <sheetName val="Summary"/>
      <sheetName val="Directcare Schedule"/>
    </sheetNames>
    <sheetDataSet>
      <sheetData sheetId="0"/>
      <sheetData sheetId="1"/>
      <sheetData sheetId="2">
        <row r="6">
          <cell r="B6">
            <v>6</v>
          </cell>
        </row>
        <row r="19">
          <cell r="B19">
            <v>4200</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PT Rate Model"/>
      <sheetName val="Program Costs"/>
      <sheetName val="Direct Care Schedule"/>
      <sheetName val="DCYF Modeled 2 FTE"/>
      <sheetName val="startup"/>
      <sheetName val="DCYF Modeled - Float"/>
      <sheetName val="Service Continuum Comparison"/>
      <sheetName val="Utilization example"/>
    </sheetNames>
    <sheetDataSet>
      <sheetData sheetId="0">
        <row r="4">
          <cell r="B4">
            <v>6</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alidation"/>
      <sheetName val="ImportData"/>
      <sheetName val="Parameters"/>
    </sheetNames>
    <sheetDataSet>
      <sheetData sheetId="0"/>
      <sheetData sheetId="1">
        <row r="2">
          <cell r="A2" t="str">
            <v>ML</v>
          </cell>
          <cell r="B2" t="str">
            <v>Fund</v>
          </cell>
          <cell r="C2" t="str">
            <v>FD</v>
          </cell>
        </row>
        <row r="3">
          <cell r="A3" t="str">
            <v>PL</v>
          </cell>
          <cell r="B3" t="str">
            <v>Fund Activity</v>
          </cell>
        </row>
        <row r="4">
          <cell r="B4" t="str">
            <v>FTE</v>
          </cell>
        </row>
        <row r="5">
          <cell r="B5" t="str">
            <v>FTE Activity</v>
          </cell>
        </row>
        <row r="6">
          <cell r="B6" t="str">
            <v>Object</v>
          </cell>
        </row>
        <row r="7">
          <cell r="B7" t="str">
            <v>Revenue</v>
          </cell>
        </row>
      </sheetData>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up_Setup"/>
      <sheetName val="FTE, sal, ben"/>
      <sheetName val="prof svc cont"/>
      <sheetName val="goods and svcs"/>
      <sheetName val="travel"/>
      <sheetName val="equipment"/>
      <sheetName val="client svcs cont"/>
      <sheetName val="other&amp;indirect"/>
      <sheetName val="interagency agree"/>
      <sheetName val="Overview"/>
      <sheetName val="Cost Model"/>
      <sheetName val="ATLP Model- Mix"/>
      <sheetName val="BRS Facility"/>
      <sheetName val="Rental Costs"/>
      <sheetName val="Summary"/>
      <sheetName val="PFP - model"/>
      <sheetName val="King County ref"/>
      <sheetName val="Data"/>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6">
          <cell r="C16">
            <v>0.75</v>
          </cell>
        </row>
      </sheetData>
      <sheetData sheetId="12"/>
      <sheetData sheetId="13">
        <row r="3">
          <cell r="P3">
            <v>-2102</v>
          </cell>
        </row>
      </sheetData>
      <sheetData sheetId="14"/>
      <sheetData sheetId="15"/>
      <sheetData sheetId="16"/>
      <sheetData sheetId="17">
        <row r="84">
          <cell r="B84" t="str">
            <v>001-General Fund - Fed Grnt</v>
          </cell>
        </row>
        <row r="85">
          <cell r="B85" t="str">
            <v>001-1 General Fund - State</v>
          </cell>
        </row>
        <row r="86">
          <cell r="B86" t="str">
            <v>001-2 General Fund - Federal</v>
          </cell>
        </row>
        <row r="87">
          <cell r="B87" t="str">
            <v>001-7 General Fund - Private/Local</v>
          </cell>
        </row>
        <row r="88">
          <cell r="B88" t="str">
            <v>001-A General Fund - Fam Supt (IV-E)</v>
          </cell>
        </row>
        <row r="89">
          <cell r="B89" t="str">
            <v>001-C General Fund - Medicaid (T-19)</v>
          </cell>
        </row>
        <row r="90">
          <cell r="B90" t="str">
            <v>001-H General Fund - ARPA</v>
          </cell>
        </row>
        <row r="91">
          <cell r="B91" t="str">
            <v>001-Z General Fund - CRRSA</v>
          </cell>
        </row>
        <row r="92">
          <cell r="B92" t="str">
            <v>08A-1 Education Legacy Trust Acct - State</v>
          </cell>
        </row>
        <row r="93">
          <cell r="B93" t="str">
            <v>133-6 Children's Trust</v>
          </cell>
        </row>
        <row r="94">
          <cell r="B94" t="str">
            <v>17B-1 HVSA - State</v>
          </cell>
        </row>
        <row r="95">
          <cell r="B95" t="str">
            <v>17B-2 HVSA - Fed</v>
          </cell>
        </row>
        <row r="96">
          <cell r="B96" t="str">
            <v>17F-1 WA Opportunity Pathways Acct - State</v>
          </cell>
        </row>
        <row r="97">
          <cell r="B97" t="str">
            <v>17M-6 Port Background Check</v>
          </cell>
        </row>
        <row r="98">
          <cell r="B98" t="str">
            <v>20L-1 Early Start</v>
          </cell>
        </row>
        <row r="99">
          <cell r="B99" t="str">
            <v>24J-1 Workforce Education Investment Acct - State</v>
          </cell>
        </row>
        <row r="100">
          <cell r="B100" t="str">
            <v>NewCR</v>
          </cell>
        </row>
        <row r="101">
          <cell r="B101" t="str">
            <v>NewExp</v>
          </cell>
        </row>
      </sheetData>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fm.wa.gov/accounting/administrative-accounting-resources/travel/diem-rate-tabl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1B689-A848-47E2-94FB-709EE3FC26CA}">
  <dimension ref="A1:I26"/>
  <sheetViews>
    <sheetView tabSelected="1" zoomScale="130" zoomScaleNormal="130" workbookViewId="0">
      <selection activeCell="B5" sqref="B5"/>
    </sheetView>
  </sheetViews>
  <sheetFormatPr defaultRowHeight="15" x14ac:dyDescent="0.25"/>
  <cols>
    <col min="2" max="2" width="28.85546875" customWidth="1"/>
    <col min="3" max="3" width="16" customWidth="1"/>
    <col min="4" max="4" width="10.7109375" customWidth="1"/>
    <col min="5" max="5" width="11.140625" customWidth="1"/>
    <col min="8" max="8" width="16.5703125" customWidth="1"/>
    <col min="9" max="9" width="12.85546875" customWidth="1"/>
    <col min="10" max="10" width="11" customWidth="1"/>
  </cols>
  <sheetData>
    <row r="1" spans="1:9" x14ac:dyDescent="0.25">
      <c r="A1" s="203" t="s">
        <v>137</v>
      </c>
      <c r="B1" s="203"/>
      <c r="C1" s="203"/>
      <c r="D1" s="203"/>
      <c r="E1" s="203"/>
      <c r="F1" s="203"/>
    </row>
    <row r="2" spans="1:9" ht="18.75" x14ac:dyDescent="0.25">
      <c r="A2" s="204" t="s">
        <v>177</v>
      </c>
      <c r="B2" s="204"/>
      <c r="C2" s="204"/>
      <c r="D2" s="204"/>
      <c r="E2" s="204"/>
      <c r="F2" s="204"/>
    </row>
    <row r="3" spans="1:9" x14ac:dyDescent="0.25">
      <c r="A3" s="205" t="s">
        <v>168</v>
      </c>
      <c r="B3" s="205"/>
      <c r="C3" s="205"/>
      <c r="D3" s="205"/>
      <c r="E3" s="205"/>
      <c r="F3" s="205"/>
    </row>
    <row r="5" spans="1:9" x14ac:dyDescent="0.25">
      <c r="B5" s="176"/>
      <c r="C5" s="176"/>
      <c r="D5" s="176"/>
      <c r="H5" s="206" t="s">
        <v>176</v>
      </c>
      <c r="I5" s="207"/>
    </row>
    <row r="6" spans="1:9" x14ac:dyDescent="0.25">
      <c r="B6" s="176"/>
      <c r="C6" s="177"/>
      <c r="D6" s="176"/>
      <c r="H6" s="200" t="s">
        <v>170</v>
      </c>
      <c r="I6" s="201">
        <v>5</v>
      </c>
    </row>
    <row r="7" spans="1:9" x14ac:dyDescent="0.25">
      <c r="B7" s="176"/>
      <c r="C7" s="177"/>
      <c r="D7" s="176"/>
      <c r="H7" s="202" t="s">
        <v>172</v>
      </c>
      <c r="I7" s="201">
        <v>5</v>
      </c>
    </row>
    <row r="8" spans="1:9" x14ac:dyDescent="0.25">
      <c r="B8" t="s">
        <v>140</v>
      </c>
      <c r="C8" s="157">
        <f>'Rate Summary'!D26</f>
        <v>6174</v>
      </c>
      <c r="D8" s="176"/>
      <c r="H8" s="202" t="s">
        <v>171</v>
      </c>
      <c r="I8" s="201">
        <v>5</v>
      </c>
    </row>
    <row r="9" spans="1:9" x14ac:dyDescent="0.25">
      <c r="B9" t="s">
        <v>139</v>
      </c>
      <c r="C9" s="157">
        <f>'Rate Summary'!D27</f>
        <v>6963</v>
      </c>
      <c r="D9" s="176"/>
      <c r="H9" s="202" t="s">
        <v>173</v>
      </c>
      <c r="I9" s="201">
        <v>6</v>
      </c>
    </row>
    <row r="10" spans="1:9" x14ac:dyDescent="0.25">
      <c r="C10" s="147"/>
      <c r="H10" s="202" t="s">
        <v>174</v>
      </c>
      <c r="I10" s="201">
        <v>5</v>
      </c>
    </row>
    <row r="11" spans="1:9" x14ac:dyDescent="0.25">
      <c r="H11" s="199" t="s">
        <v>175</v>
      </c>
      <c r="I11" s="201">
        <v>8</v>
      </c>
    </row>
    <row r="12" spans="1:9" x14ac:dyDescent="0.25">
      <c r="H12" s="33"/>
      <c r="I12" s="69" t="s">
        <v>169</v>
      </c>
    </row>
    <row r="14" spans="1:9" x14ac:dyDescent="0.25">
      <c r="B14" s="4" t="s">
        <v>142</v>
      </c>
      <c r="C14" s="4"/>
      <c r="D14" s="4"/>
      <c r="E14" s="4"/>
    </row>
    <row r="15" spans="1:9" ht="30" x14ac:dyDescent="0.25">
      <c r="B15" s="51" t="s">
        <v>141</v>
      </c>
      <c r="C15" s="51" t="s">
        <v>143</v>
      </c>
      <c r="D15" s="51" t="s">
        <v>144</v>
      </c>
      <c r="E15" s="51" t="s">
        <v>145</v>
      </c>
    </row>
    <row r="16" spans="1:9" x14ac:dyDescent="0.25">
      <c r="B16" s="180">
        <v>0.5</v>
      </c>
      <c r="C16" s="180">
        <v>0.6</v>
      </c>
      <c r="D16" s="180">
        <v>0.7</v>
      </c>
      <c r="E16" s="180">
        <v>0.8</v>
      </c>
      <c r="G16" s="177"/>
    </row>
    <row r="17" spans="2:7" x14ac:dyDescent="0.25">
      <c r="G17" s="177"/>
    </row>
    <row r="18" spans="2:7" x14ac:dyDescent="0.25">
      <c r="C18" s="177"/>
      <c r="F18" s="177"/>
      <c r="G18" s="177"/>
    </row>
    <row r="19" spans="2:7" x14ac:dyDescent="0.25">
      <c r="B19" s="4"/>
      <c r="C19" s="177"/>
      <c r="F19" s="178"/>
      <c r="G19" s="177"/>
    </row>
    <row r="20" spans="2:7" x14ac:dyDescent="0.25">
      <c r="C20" s="177"/>
      <c r="F20" s="179"/>
      <c r="G20" s="177"/>
    </row>
    <row r="21" spans="2:7" x14ac:dyDescent="0.25">
      <c r="C21" s="177"/>
      <c r="F21" s="179"/>
      <c r="G21" s="177"/>
    </row>
    <row r="22" spans="2:7" x14ac:dyDescent="0.25">
      <c r="C22" s="177"/>
      <c r="F22" s="179"/>
      <c r="G22" s="177"/>
    </row>
    <row r="23" spans="2:7" x14ac:dyDescent="0.25">
      <c r="C23" s="177"/>
      <c r="F23" s="179"/>
      <c r="G23" s="177"/>
    </row>
    <row r="24" spans="2:7" x14ac:dyDescent="0.25">
      <c r="C24" s="177"/>
      <c r="F24" s="179"/>
    </row>
    <row r="25" spans="2:7" x14ac:dyDescent="0.25">
      <c r="C25" s="177"/>
      <c r="F25" s="179"/>
    </row>
    <row r="26" spans="2:7" x14ac:dyDescent="0.25">
      <c r="B26" s="4"/>
    </row>
  </sheetData>
  <mergeCells count="4">
    <mergeCell ref="A1:F1"/>
    <mergeCell ref="A2:F2"/>
    <mergeCell ref="A3:F3"/>
    <mergeCell ref="H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B3CC7-9EE3-40F2-A0EE-F6DBD41B1D57}">
  <dimension ref="B2:G26"/>
  <sheetViews>
    <sheetView workbookViewId="0">
      <selection activeCell="H25" sqref="H25"/>
    </sheetView>
  </sheetViews>
  <sheetFormatPr defaultRowHeight="15" x14ac:dyDescent="0.25"/>
  <cols>
    <col min="2" max="2" width="22.42578125" customWidth="1"/>
    <col min="3" max="3" width="16.85546875" customWidth="1"/>
    <col min="4" max="6" width="19.42578125" customWidth="1"/>
    <col min="7" max="7" width="21.5703125" customWidth="1"/>
  </cols>
  <sheetData>
    <row r="2" spans="2:7" ht="15.75" thickBot="1" x14ac:dyDescent="0.3"/>
    <row r="3" spans="2:7" ht="30" customHeight="1" x14ac:dyDescent="0.25">
      <c r="B3" s="189" t="s">
        <v>146</v>
      </c>
      <c r="C3" s="190"/>
      <c r="D3" s="190"/>
      <c r="E3" s="190"/>
      <c r="F3" s="190"/>
      <c r="G3" s="191"/>
    </row>
    <row r="4" spans="2:7" x14ac:dyDescent="0.25">
      <c r="B4" s="181"/>
      <c r="G4" s="182"/>
    </row>
    <row r="5" spans="2:7" x14ac:dyDescent="0.25">
      <c r="B5" s="181"/>
      <c r="G5" s="182"/>
    </row>
    <row r="6" spans="2:7" x14ac:dyDescent="0.25">
      <c r="B6" s="181"/>
      <c r="G6" s="182"/>
    </row>
    <row r="7" spans="2:7" x14ac:dyDescent="0.25">
      <c r="B7" s="181"/>
      <c r="G7" s="182"/>
    </row>
    <row r="8" spans="2:7" x14ac:dyDescent="0.25">
      <c r="B8" s="181"/>
      <c r="G8" s="182"/>
    </row>
    <row r="9" spans="2:7" ht="45" x14ac:dyDescent="0.25">
      <c r="B9" s="183" t="s">
        <v>156</v>
      </c>
      <c r="C9" s="186" t="s">
        <v>164</v>
      </c>
      <c r="D9" s="148" t="s">
        <v>161</v>
      </c>
      <c r="E9" s="148" t="s">
        <v>167</v>
      </c>
      <c r="F9" s="184" t="s">
        <v>165</v>
      </c>
      <c r="G9" s="184" t="s">
        <v>166</v>
      </c>
    </row>
    <row r="10" spans="2:7" x14ac:dyDescent="0.25">
      <c r="B10" s="181"/>
      <c r="C10" s="187"/>
      <c r="D10" s="39"/>
      <c r="E10" s="39"/>
      <c r="F10" s="188"/>
      <c r="G10" s="188"/>
    </row>
    <row r="11" spans="2:7" x14ac:dyDescent="0.25">
      <c r="B11" s="185" t="s">
        <v>147</v>
      </c>
      <c r="C11" s="14">
        <v>52000</v>
      </c>
      <c r="D11" s="14">
        <f>C11/2080*' Assumptions '!$B$16</f>
        <v>3000</v>
      </c>
      <c r="E11" s="14">
        <f>C11/2080*' Assumptions '!$B$17</f>
        <v>2200</v>
      </c>
      <c r="F11" s="188">
        <f>'[4]EPS Cost Assumptions'!$B$19</f>
        <v>4200</v>
      </c>
      <c r="G11" s="198">
        <f>SUM(C11:F11)</f>
        <v>61400</v>
      </c>
    </row>
    <row r="12" spans="2:7" x14ac:dyDescent="0.25">
      <c r="B12" s="185" t="s">
        <v>148</v>
      </c>
      <c r="C12" s="14">
        <v>51127.882599580713</v>
      </c>
      <c r="D12" s="14">
        <f>C12/2080*' Assumptions '!$B$16</f>
        <v>2949.6855345911949</v>
      </c>
      <c r="E12" s="14">
        <f>C12/2080*' Assumptions '!$B$17</f>
        <v>2163.1027253668763</v>
      </c>
      <c r="F12" s="188">
        <f>'[4]EPS Cost Assumptions'!$B$19</f>
        <v>4200</v>
      </c>
      <c r="G12" s="198">
        <f t="shared" ref="G12:G23" si="0">SUM(C12:F12)</f>
        <v>60440.67085953879</v>
      </c>
    </row>
    <row r="13" spans="2:7" x14ac:dyDescent="0.25">
      <c r="B13" s="185" t="s">
        <v>149</v>
      </c>
      <c r="C13" s="14">
        <v>51890.985324947585</v>
      </c>
      <c r="D13" s="14">
        <f>C13/2080*' Assumptions '!$B$16</f>
        <v>2993.7106918238992</v>
      </c>
      <c r="E13" s="14">
        <f>C13/2080*' Assumptions '!$B$17</f>
        <v>2195.3878406708595</v>
      </c>
      <c r="F13" s="188">
        <f>'[4]EPS Cost Assumptions'!$B$19</f>
        <v>4200</v>
      </c>
      <c r="G13" s="198">
        <f t="shared" si="0"/>
        <v>61280.083857442347</v>
      </c>
    </row>
    <row r="14" spans="2:7" x14ac:dyDescent="0.25">
      <c r="B14" s="185" t="s">
        <v>158</v>
      </c>
      <c r="C14" s="14">
        <v>52000</v>
      </c>
      <c r="D14" s="14">
        <f>C14/2080*' Assumptions '!$B$16</f>
        <v>3000</v>
      </c>
      <c r="E14" s="14">
        <f>C14/2080*' Assumptions '!$B$17</f>
        <v>2200</v>
      </c>
      <c r="F14" s="188">
        <f>'[4]EPS Cost Assumptions'!$B$19</f>
        <v>4200</v>
      </c>
      <c r="G14" s="198">
        <f t="shared" si="0"/>
        <v>61400</v>
      </c>
    </row>
    <row r="15" spans="2:7" x14ac:dyDescent="0.25">
      <c r="B15" s="185" t="s">
        <v>150</v>
      </c>
      <c r="C15" s="14">
        <v>52000</v>
      </c>
      <c r="D15" s="14">
        <f>C15/2080*' Assumptions '!$B$16</f>
        <v>3000</v>
      </c>
      <c r="E15" s="14">
        <f>C15/2080*' Assumptions '!$B$17</f>
        <v>2200</v>
      </c>
      <c r="F15" s="188">
        <f>'[4]EPS Cost Assumptions'!$B$19</f>
        <v>4200</v>
      </c>
      <c r="G15" s="198">
        <f t="shared" si="0"/>
        <v>61400</v>
      </c>
    </row>
    <row r="16" spans="2:7" x14ac:dyDescent="0.25">
      <c r="B16" s="185" t="s">
        <v>151</v>
      </c>
      <c r="C16" s="14">
        <v>51563.941299790356</v>
      </c>
      <c r="D16" s="14">
        <f>C16/2080*' Assumptions '!$B$16</f>
        <v>2974.8427672955977</v>
      </c>
      <c r="E16" s="14">
        <f>C16/2080*' Assumptions '!$B$17</f>
        <v>2181.5513626834381</v>
      </c>
      <c r="F16" s="188">
        <f>'[4]EPS Cost Assumptions'!$B$19</f>
        <v>4200</v>
      </c>
      <c r="G16" s="198">
        <f t="shared" si="0"/>
        <v>60920.335429769388</v>
      </c>
    </row>
    <row r="17" spans="2:7" x14ac:dyDescent="0.25">
      <c r="B17" s="185" t="s">
        <v>152</v>
      </c>
      <c r="C17" s="14">
        <v>47094.339622641506</v>
      </c>
      <c r="D17" s="14">
        <f>C17/2080*' Assumptions '!$B$16</f>
        <v>2716.9811320754716</v>
      </c>
      <c r="E17" s="14">
        <f>C17/2080*' Assumptions '!$B$17</f>
        <v>1992.4528301886792</v>
      </c>
      <c r="F17" s="188">
        <f>'[4]EPS Cost Assumptions'!$B$19</f>
        <v>4200</v>
      </c>
      <c r="G17" s="198">
        <f t="shared" si="0"/>
        <v>56003.773584905663</v>
      </c>
    </row>
    <row r="18" spans="2:7" x14ac:dyDescent="0.25">
      <c r="B18" s="185" t="s">
        <v>159</v>
      </c>
      <c r="C18" s="14">
        <v>49710.691823899368</v>
      </c>
      <c r="D18" s="14">
        <f>C18/2080*' Assumptions '!$B$16</f>
        <v>2867.9245283018868</v>
      </c>
      <c r="E18" s="14">
        <f>C18/2080*' Assumptions '!$B$17</f>
        <v>2103.1446540880502</v>
      </c>
      <c r="F18" s="188">
        <f>'[4]EPS Cost Assumptions'!$B$19</f>
        <v>4200</v>
      </c>
      <c r="G18" s="198">
        <f t="shared" si="0"/>
        <v>58881.761006289307</v>
      </c>
    </row>
    <row r="19" spans="2:7" x14ac:dyDescent="0.25">
      <c r="B19" s="185" t="s">
        <v>160</v>
      </c>
      <c r="C19" s="14">
        <v>51236.89727463312</v>
      </c>
      <c r="D19" s="14">
        <f>C19/2080*' Assumptions '!$B$16</f>
        <v>2955.9748427672953</v>
      </c>
      <c r="E19" s="14">
        <f>C19/2080*' Assumptions '!$B$17</f>
        <v>2167.7148846960167</v>
      </c>
      <c r="F19" s="188">
        <f>'[4]EPS Cost Assumptions'!$B$19</f>
        <v>4200</v>
      </c>
      <c r="G19" s="198">
        <f t="shared" si="0"/>
        <v>60560.587002096436</v>
      </c>
    </row>
    <row r="20" spans="2:7" x14ac:dyDescent="0.25">
      <c r="B20" s="185" t="s">
        <v>153</v>
      </c>
      <c r="C20" s="14">
        <v>48184.486373165615</v>
      </c>
      <c r="D20" s="14">
        <f>C20/2080*' Assumptions '!$B$16</f>
        <v>2779.8742138364778</v>
      </c>
      <c r="E20" s="14">
        <f>C20/2080*' Assumptions '!$B$17</f>
        <v>2038.5744234800836</v>
      </c>
      <c r="F20" s="188">
        <f>'[4]EPS Cost Assumptions'!$B$19</f>
        <v>4200</v>
      </c>
      <c r="G20" s="198">
        <f t="shared" si="0"/>
        <v>57202.935010482171</v>
      </c>
    </row>
    <row r="21" spans="2:7" x14ac:dyDescent="0.25">
      <c r="B21" s="185" t="s">
        <v>163</v>
      </c>
      <c r="C21" s="14">
        <v>49928.721174004197</v>
      </c>
      <c r="D21" s="14">
        <f>C21/2080*' Assumptions '!$B$16</f>
        <v>2880.5031446540884</v>
      </c>
      <c r="E21" s="14">
        <f>C21/2080*' Assumptions '!$B$17</f>
        <v>2112.3689727463316</v>
      </c>
      <c r="F21" s="188">
        <f>'[4]EPS Cost Assumptions'!$B$19</f>
        <v>4200</v>
      </c>
      <c r="G21" s="198">
        <f t="shared" si="0"/>
        <v>59121.593291404613</v>
      </c>
    </row>
    <row r="22" spans="2:7" x14ac:dyDescent="0.25">
      <c r="B22" s="185" t="s">
        <v>154</v>
      </c>
      <c r="C22" s="14">
        <v>52000</v>
      </c>
      <c r="D22" s="14">
        <f>C22/2080*' Assumptions '!$B$16</f>
        <v>3000</v>
      </c>
      <c r="E22" s="14">
        <f>C22/2080*' Assumptions '!$B$17</f>
        <v>2200</v>
      </c>
      <c r="F22" s="188">
        <f>'[4]EPS Cost Assumptions'!$B$19</f>
        <v>4200</v>
      </c>
      <c r="G22" s="198">
        <f t="shared" si="0"/>
        <v>61400</v>
      </c>
    </row>
    <row r="23" spans="2:7" x14ac:dyDescent="0.25">
      <c r="B23" s="185" t="s">
        <v>155</v>
      </c>
      <c r="C23" s="14">
        <v>52000</v>
      </c>
      <c r="D23" s="14">
        <f>C23/2080*' Assumptions '!$B$16</f>
        <v>3000</v>
      </c>
      <c r="E23" s="14">
        <f>C23/2080*' Assumptions '!$B$17</f>
        <v>2200</v>
      </c>
      <c r="F23" s="188">
        <f>'[4]EPS Cost Assumptions'!$B$19</f>
        <v>4200</v>
      </c>
      <c r="G23" s="198">
        <f t="shared" si="0"/>
        <v>61400</v>
      </c>
    </row>
    <row r="24" spans="2:7" x14ac:dyDescent="0.25">
      <c r="B24" s="181"/>
      <c r="G24" s="182"/>
    </row>
    <row r="25" spans="2:7" ht="30" customHeight="1" x14ac:dyDescent="0.25">
      <c r="B25" s="195" t="s">
        <v>157</v>
      </c>
      <c r="C25" s="196"/>
      <c r="D25" s="196"/>
      <c r="E25" s="196"/>
      <c r="F25" s="196"/>
      <c r="G25" s="197"/>
    </row>
    <row r="26" spans="2:7" ht="40.5" customHeight="1" thickBot="1" x14ac:dyDescent="0.3">
      <c r="B26" s="192" t="s">
        <v>162</v>
      </c>
      <c r="C26" s="193"/>
      <c r="D26" s="193"/>
      <c r="E26" s="193"/>
      <c r="F26" s="193"/>
      <c r="G26" s="19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27AD-68D3-4F24-95ED-C4B257DDC5D7}">
  <sheetPr codeName="Sheet6">
    <tabColor theme="4"/>
  </sheetPr>
  <dimension ref="A1:U72"/>
  <sheetViews>
    <sheetView topLeftCell="A14" zoomScaleNormal="100" workbookViewId="0">
      <selection activeCell="B17" sqref="A17:F43"/>
    </sheetView>
  </sheetViews>
  <sheetFormatPr defaultRowHeight="15" x14ac:dyDescent="0.25"/>
  <cols>
    <col min="1" max="1" width="34" customWidth="1"/>
    <col min="2" max="2" width="23.140625" customWidth="1"/>
    <col min="3" max="3" width="33.28515625" customWidth="1"/>
    <col min="4" max="4" width="13" customWidth="1"/>
    <col min="5" max="5" width="40.28515625" customWidth="1"/>
    <col min="6" max="6" width="12.5703125" customWidth="1"/>
    <col min="7" max="7" width="9.42578125" customWidth="1"/>
    <col min="8" max="8" width="16" customWidth="1"/>
    <col min="9" max="9" width="17.85546875" customWidth="1"/>
    <col min="10" max="10" width="12" hidden="1" customWidth="1"/>
    <col min="12" max="12" width="5" customWidth="1"/>
  </cols>
  <sheetData>
    <row r="1" spans="1:9" ht="20.25" thickBot="1" x14ac:dyDescent="0.35">
      <c r="A1" s="219" t="s">
        <v>108</v>
      </c>
      <c r="B1" s="219"/>
      <c r="C1" s="219"/>
      <c r="D1" s="219"/>
      <c r="E1" s="219"/>
      <c r="F1" s="219"/>
      <c r="G1" s="219"/>
    </row>
    <row r="2" spans="1:9" ht="15.75" thickTop="1" x14ac:dyDescent="0.25">
      <c r="A2" s="1"/>
      <c r="B2" s="1"/>
      <c r="C2" s="1"/>
      <c r="D2" s="1"/>
      <c r="E2" s="1"/>
      <c r="F2" s="1"/>
      <c r="G2" s="1"/>
    </row>
    <row r="3" spans="1:9" ht="15.75" thickBot="1" x14ac:dyDescent="0.3">
      <c r="A3" s="1"/>
      <c r="B3" s="1"/>
      <c r="C3" s="1"/>
      <c r="D3" s="1"/>
      <c r="E3" s="1"/>
      <c r="F3" s="1"/>
      <c r="G3" s="1"/>
    </row>
    <row r="4" spans="1:9" ht="32.25" customHeight="1" thickBot="1" x14ac:dyDescent="0.3">
      <c r="A4" s="210" t="s">
        <v>1</v>
      </c>
      <c r="B4" s="210"/>
      <c r="C4" s="210"/>
      <c r="D4" s="210"/>
      <c r="E4" s="210"/>
      <c r="F4" s="210"/>
      <c r="G4" s="211"/>
    </row>
    <row r="5" spans="1:9" ht="14.45" customHeight="1" thickBot="1" x14ac:dyDescent="0.3">
      <c r="F5" s="150"/>
    </row>
    <row r="6" spans="1:9" ht="14.45" customHeight="1" thickBot="1" x14ac:dyDescent="0.3">
      <c r="A6" s="6" t="s">
        <v>2</v>
      </c>
      <c r="B6" s="7">
        <v>6</v>
      </c>
      <c r="F6" s="150"/>
      <c r="G6" s="222"/>
      <c r="H6" s="222"/>
    </row>
    <row r="7" spans="1:9" ht="14.45" customHeight="1" x14ac:dyDescent="0.25">
      <c r="A7" s="4"/>
      <c r="B7" s="4"/>
      <c r="F7" s="150"/>
    </row>
    <row r="8" spans="1:9" ht="14.45" customHeight="1" x14ac:dyDescent="0.25">
      <c r="A8" s="223" t="s">
        <v>3</v>
      </c>
      <c r="B8" s="224"/>
      <c r="C8" s="224"/>
      <c r="D8" s="8"/>
      <c r="E8" s="8"/>
      <c r="F8" s="8"/>
      <c r="G8" s="151"/>
      <c r="H8" s="151"/>
      <c r="I8" s="151"/>
    </row>
    <row r="9" spans="1:9" ht="15.95" customHeight="1" x14ac:dyDescent="0.25">
      <c r="A9" s="16" t="s">
        <v>4</v>
      </c>
      <c r="B9" s="149" t="s">
        <v>5</v>
      </c>
      <c r="C9" s="149" t="s">
        <v>6</v>
      </c>
      <c r="G9" s="151"/>
      <c r="H9" s="151"/>
      <c r="I9" s="151"/>
    </row>
    <row r="10" spans="1:9" ht="15" customHeight="1" x14ac:dyDescent="0.25">
      <c r="A10" s="17" t="s">
        <v>7</v>
      </c>
      <c r="B10" s="18">
        <v>0.2</v>
      </c>
      <c r="C10" s="18"/>
    </row>
    <row r="11" spans="1:9" ht="15" customHeight="1" x14ac:dyDescent="0.25">
      <c r="A11" s="17" t="s">
        <v>8</v>
      </c>
      <c r="B11" s="18">
        <v>0.17</v>
      </c>
      <c r="C11" s="18"/>
    </row>
    <row r="12" spans="1:9" ht="15" customHeight="1" x14ac:dyDescent="0.25">
      <c r="A12" s="17" t="s">
        <v>9</v>
      </c>
      <c r="B12" s="19">
        <v>1.4999999999999999E-2</v>
      </c>
      <c r="C12" s="19"/>
    </row>
    <row r="13" spans="1:9" ht="15" customHeight="1" x14ac:dyDescent="0.25">
      <c r="B13" s="9"/>
    </row>
    <row r="14" spans="1:9" ht="15" customHeight="1" x14ac:dyDescent="0.25">
      <c r="A14" s="220" t="s">
        <v>10</v>
      </c>
      <c r="B14" s="220"/>
      <c r="C14" s="220"/>
    </row>
    <row r="15" spans="1:9" ht="15" customHeight="1" x14ac:dyDescent="0.25">
      <c r="A15" s="16" t="s">
        <v>11</v>
      </c>
      <c r="B15" s="149" t="s">
        <v>12</v>
      </c>
      <c r="C15" s="97" t="s">
        <v>13</v>
      </c>
    </row>
    <row r="16" spans="1:9" ht="15" customHeight="1" x14ac:dyDescent="0.25">
      <c r="A16" s="17" t="s">
        <v>14</v>
      </c>
      <c r="B16" s="20">
        <v>120</v>
      </c>
      <c r="C16" s="21">
        <f>B16/2080</f>
        <v>5.7692307692307696E-2</v>
      </c>
    </row>
    <row r="17" spans="1:9" ht="15" customHeight="1" x14ac:dyDescent="0.25">
      <c r="A17" s="17" t="s">
        <v>15</v>
      </c>
      <c r="B17" s="20">
        <v>88</v>
      </c>
      <c r="C17" s="21">
        <f t="shared" ref="C17:C18" si="0">B17/2080</f>
        <v>4.230769230769231E-2</v>
      </c>
    </row>
    <row r="18" spans="1:9" ht="15" customHeight="1" x14ac:dyDescent="0.25">
      <c r="A18" s="17" t="s">
        <v>16</v>
      </c>
      <c r="B18" s="20">
        <v>40</v>
      </c>
      <c r="C18" s="21">
        <f t="shared" si="0"/>
        <v>1.9230769230769232E-2</v>
      </c>
      <c r="E18" s="14"/>
      <c r="F18" s="150"/>
    </row>
    <row r="19" spans="1:9" x14ac:dyDescent="0.25">
      <c r="A19" s="17" t="s">
        <v>110</v>
      </c>
      <c r="B19" s="52">
        <f>3300+900</f>
        <v>4200</v>
      </c>
      <c r="C19" s="34"/>
    </row>
    <row r="20" spans="1:9" x14ac:dyDescent="0.25">
      <c r="A20" s="156" t="s">
        <v>102</v>
      </c>
      <c r="B20" s="157">
        <v>500</v>
      </c>
      <c r="C20" s="158" t="s">
        <v>104</v>
      </c>
    </row>
    <row r="21" spans="1:9" x14ac:dyDescent="0.25">
      <c r="A21" s="220" t="s">
        <v>17</v>
      </c>
      <c r="B21" s="220"/>
      <c r="C21" s="220"/>
    </row>
    <row r="22" spans="1:9" x14ac:dyDescent="0.25">
      <c r="A22" s="23" t="s">
        <v>18</v>
      </c>
      <c r="B22" s="149" t="s">
        <v>19</v>
      </c>
      <c r="C22" s="149" t="s">
        <v>6</v>
      </c>
    </row>
    <row r="23" spans="1:9" ht="30" x14ac:dyDescent="0.25">
      <c r="A23" s="17" t="s">
        <v>20</v>
      </c>
      <c r="B23" s="31" t="s">
        <v>21</v>
      </c>
      <c r="C23" s="146" t="s">
        <v>22</v>
      </c>
    </row>
    <row r="24" spans="1:9" x14ac:dyDescent="0.25">
      <c r="A24" s="17" t="s">
        <v>23</v>
      </c>
      <c r="B24" s="31" t="s">
        <v>21</v>
      </c>
      <c r="C24" s="146" t="s">
        <v>101</v>
      </c>
    </row>
    <row r="25" spans="1:9" x14ac:dyDescent="0.25">
      <c r="A25" s="17" t="s">
        <v>24</v>
      </c>
      <c r="B25" s="17" t="s">
        <v>21</v>
      </c>
      <c r="C25" s="146" t="s">
        <v>25</v>
      </c>
    </row>
    <row r="27" spans="1:9" ht="15.75" x14ac:dyDescent="0.25">
      <c r="A27" s="215" t="s">
        <v>0</v>
      </c>
      <c r="B27" s="215"/>
      <c r="C27" s="215"/>
      <c r="D27" s="215"/>
      <c r="E27" s="215"/>
      <c r="F27" s="215"/>
    </row>
    <row r="28" spans="1:9" x14ac:dyDescent="0.25">
      <c r="A28" s="23" t="s">
        <v>26</v>
      </c>
      <c r="B28" s="149" t="s">
        <v>27</v>
      </c>
      <c r="C28" s="149" t="s">
        <v>28</v>
      </c>
      <c r="D28" s="149" t="s">
        <v>29</v>
      </c>
      <c r="E28" s="221" t="s">
        <v>6</v>
      </c>
      <c r="F28" s="221"/>
    </row>
    <row r="29" spans="1:9" ht="36" customHeight="1" x14ac:dyDescent="0.25">
      <c r="A29" s="212" t="s">
        <v>30</v>
      </c>
      <c r="B29" s="213"/>
      <c r="C29" s="141" t="s">
        <v>31</v>
      </c>
      <c r="D29" s="34"/>
      <c r="E29" s="34"/>
      <c r="F29" s="35"/>
      <c r="G29" s="4"/>
      <c r="I29" s="4"/>
    </row>
    <row r="30" spans="1:9" x14ac:dyDescent="0.25">
      <c r="A30" s="24" t="s">
        <v>32</v>
      </c>
      <c r="B30" s="32">
        <f>ROUND(D30*(2080/12)+(SUM($B$16:$B$17)/12),1)</f>
        <v>26</v>
      </c>
      <c r="C30" s="94">
        <v>53.019230769230766</v>
      </c>
      <c r="D30" s="95">
        <v>0.05</v>
      </c>
      <c r="E30" s="17"/>
      <c r="F30" s="152"/>
      <c r="G30" s="4"/>
      <c r="I30" s="4"/>
    </row>
    <row r="31" spans="1:9" x14ac:dyDescent="0.25">
      <c r="A31" s="25" t="s">
        <v>33</v>
      </c>
      <c r="B31" s="10">
        <f>ROUND(D31*(2080/12)+(SUM($B$16:$B$17)/12),1)</f>
        <v>46.8</v>
      </c>
      <c r="C31" s="94">
        <v>44.182692307692307</v>
      </c>
      <c r="D31" s="95">
        <f>ROUND(F31,2)</f>
        <v>0.17</v>
      </c>
      <c r="E31" s="31" t="s">
        <v>34</v>
      </c>
      <c r="F31" s="165">
        <f>1/6</f>
        <v>0.16666666666666666</v>
      </c>
    </row>
    <row r="32" spans="1:9" x14ac:dyDescent="0.25">
      <c r="A32" s="25" t="s">
        <v>35</v>
      </c>
      <c r="B32" s="10">
        <f>ROUND(D32*(2080/12)+(SUM($B$16:$B$17)/12),1)</f>
        <v>190.7</v>
      </c>
      <c r="C32" s="94">
        <v>30.167999999999999</v>
      </c>
      <c r="D32" s="96">
        <v>1</v>
      </c>
      <c r="E32" s="17"/>
      <c r="F32" s="152"/>
    </row>
    <row r="33" spans="1:21" x14ac:dyDescent="0.25">
      <c r="A33" s="25" t="s">
        <v>36</v>
      </c>
      <c r="B33" s="10">
        <f>ROUND(D33*(2080/12)+(SUM(B16:B17)/12),1)</f>
        <v>69.3</v>
      </c>
      <c r="C33" s="94">
        <v>30.43</v>
      </c>
      <c r="D33" s="95">
        <f>Beds/20</f>
        <v>0.3</v>
      </c>
      <c r="E33" s="163" t="s">
        <v>107</v>
      </c>
      <c r="F33" s="152">
        <f>1/20</f>
        <v>0.05</v>
      </c>
    </row>
    <row r="34" spans="1:21" x14ac:dyDescent="0.25">
      <c r="A34" s="25" t="s">
        <v>37</v>
      </c>
      <c r="B34" s="10">
        <f>ROUND(D34*(2080/12),1)</f>
        <v>1282.7</v>
      </c>
      <c r="C34" s="94">
        <v>25</v>
      </c>
      <c r="D34" s="95">
        <f>SUM('Directcare Schedule '!D34:F34)</f>
        <v>7.3999999999999995</v>
      </c>
      <c r="E34" s="17"/>
      <c r="F34" s="152"/>
    </row>
    <row r="35" spans="1:21" x14ac:dyDescent="0.25">
      <c r="A35" s="25" t="s">
        <v>38</v>
      </c>
      <c r="B35" s="10">
        <f>ROUND(D35*2080/12,1)</f>
        <v>152.9</v>
      </c>
      <c r="C35" s="94">
        <v>25</v>
      </c>
      <c r="D35" s="95">
        <f>D34*SUM('Directcare Schedule '!D39:D41)</f>
        <v>0.88230769230769235</v>
      </c>
      <c r="E35" s="17"/>
      <c r="F35" s="152"/>
    </row>
    <row r="36" spans="1:21" x14ac:dyDescent="0.25">
      <c r="A36" s="25" t="s">
        <v>39</v>
      </c>
      <c r="B36" s="10">
        <f>ROUND(F36*Beds*(52/12)+(F36*Beds*(52/12)*SUM('Directcare Schedule '!D39:D41)),1)</f>
        <v>14.6</v>
      </c>
      <c r="C36" s="94">
        <v>25.1</v>
      </c>
      <c r="D36" s="95">
        <f>ROUND(B36/(2080/12),1)</f>
        <v>0.1</v>
      </c>
      <c r="E36" s="17" t="s">
        <v>40</v>
      </c>
      <c r="F36" s="152">
        <v>0.5</v>
      </c>
      <c r="J36" t="s">
        <v>41</v>
      </c>
    </row>
    <row r="37" spans="1:21" x14ac:dyDescent="0.25">
      <c r="A37" s="25" t="s">
        <v>42</v>
      </c>
      <c r="B37" s="10">
        <f>ROUND(((2080/12)*F37)+((2080/12)*F37)*SUM('Directcare Schedule '!D39:D41),1)</f>
        <v>38.799999999999997</v>
      </c>
      <c r="C37" s="94">
        <v>28.41346153846154</v>
      </c>
      <c r="D37" s="95">
        <f>B37*12/2080</f>
        <v>0.22384615384615383</v>
      </c>
      <c r="E37" s="17" t="s">
        <v>43</v>
      </c>
      <c r="F37" s="152">
        <v>0.2</v>
      </c>
      <c r="J37" t="s">
        <v>44</v>
      </c>
    </row>
    <row r="38" spans="1:21" x14ac:dyDescent="0.25">
      <c r="A38" s="102" t="s">
        <v>45</v>
      </c>
      <c r="B38" s="103">
        <f>SUM(B30:B37)</f>
        <v>1821.8</v>
      </c>
      <c r="C38" s="153"/>
      <c r="D38" s="164">
        <f>SUM(D30:D37)</f>
        <v>10.126153846153846</v>
      </c>
      <c r="E38" s="154"/>
      <c r="F38" s="155"/>
    </row>
    <row r="39" spans="1:21" x14ac:dyDescent="0.25">
      <c r="A39" s="217"/>
      <c r="B39" s="218"/>
      <c r="C39" s="218"/>
      <c r="D39" s="218"/>
      <c r="E39" s="5"/>
      <c r="F39" s="83"/>
      <c r="G39" s="11"/>
      <c r="H39" s="11"/>
      <c r="I39" s="11"/>
      <c r="J39" s="11"/>
      <c r="K39" s="11"/>
      <c r="L39" s="11"/>
      <c r="M39" s="11"/>
      <c r="N39" s="11"/>
      <c r="O39" s="11"/>
      <c r="P39" s="11"/>
      <c r="Q39" s="11"/>
      <c r="R39" s="11"/>
      <c r="S39" s="11"/>
      <c r="T39" s="11"/>
      <c r="U39" s="11"/>
    </row>
    <row r="40" spans="1:21" ht="15.75" x14ac:dyDescent="0.25">
      <c r="A40" s="214" t="s">
        <v>46</v>
      </c>
      <c r="B40" s="215"/>
      <c r="C40" s="215"/>
      <c r="D40" s="215"/>
      <c r="E40" s="216"/>
      <c r="F40" s="8"/>
      <c r="H40" s="12"/>
      <c r="I40" s="12"/>
      <c r="J40" s="12"/>
      <c r="K40" s="12"/>
      <c r="L40" s="12"/>
      <c r="M40" s="12"/>
      <c r="N40" s="12"/>
      <c r="O40" s="12"/>
      <c r="P40" s="12"/>
      <c r="Q40" s="11"/>
      <c r="R40" s="11"/>
      <c r="S40" s="11"/>
      <c r="T40" s="11"/>
      <c r="U40" s="11"/>
    </row>
    <row r="41" spans="1:21" ht="30" x14ac:dyDescent="0.25">
      <c r="A41" s="26" t="s">
        <v>47</v>
      </c>
      <c r="B41" s="149" t="s">
        <v>48</v>
      </c>
      <c r="C41" s="149" t="s">
        <v>5</v>
      </c>
      <c r="D41" s="152"/>
      <c r="E41" s="85" t="s">
        <v>49</v>
      </c>
    </row>
    <row r="42" spans="1:21" x14ac:dyDescent="0.25">
      <c r="A42" s="159" t="s">
        <v>50</v>
      </c>
      <c r="B42" s="160">
        <f>C42/12</f>
        <v>699.99999999999989</v>
      </c>
      <c r="C42" s="161">
        <f>D42*((D32+D34)*2)</f>
        <v>8399.9999999999982</v>
      </c>
      <c r="D42" s="87">
        <v>500</v>
      </c>
      <c r="E42" s="162" t="s">
        <v>51</v>
      </c>
      <c r="F42" s="98"/>
    </row>
    <row r="43" spans="1:21" x14ac:dyDescent="0.25">
      <c r="A43" s="159" t="s">
        <v>102</v>
      </c>
      <c r="B43" s="160">
        <f>C43/12</f>
        <v>421.92307692307691</v>
      </c>
      <c r="C43" s="161">
        <f>B20*SUM(D29:D37)</f>
        <v>5063.0769230769229</v>
      </c>
      <c r="D43" s="87">
        <f>B20</f>
        <v>500</v>
      </c>
      <c r="E43" s="162" t="s">
        <v>103</v>
      </c>
      <c r="F43" s="98"/>
    </row>
    <row r="44" spans="1:21" ht="51.75" customHeight="1" x14ac:dyDescent="0.25">
      <c r="A44" s="159" t="s">
        <v>52</v>
      </c>
      <c r="B44" s="160">
        <f>0.656*D44*Beds</f>
        <v>984</v>
      </c>
      <c r="C44" s="161">
        <f>B44*12</f>
        <v>11808</v>
      </c>
      <c r="D44" s="87">
        <v>250</v>
      </c>
      <c r="E44" s="99" t="s">
        <v>53</v>
      </c>
    </row>
    <row r="45" spans="1:21" x14ac:dyDescent="0.25">
      <c r="A45" s="159" t="s">
        <v>98</v>
      </c>
      <c r="B45" s="160">
        <f>ROUND(C45/12,0)</f>
        <v>3544</v>
      </c>
      <c r="C45" s="161">
        <f>D45*SUM(D30:D37)</f>
        <v>42529.846153846156</v>
      </c>
      <c r="D45" s="87">
        <f>B19</f>
        <v>4200</v>
      </c>
      <c r="E45" s="29" t="s">
        <v>54</v>
      </c>
    </row>
    <row r="46" spans="1:21" ht="30" x14ac:dyDescent="0.25">
      <c r="A46" s="159" t="s">
        <v>55</v>
      </c>
      <c r="B46" s="160">
        <f>C46/12</f>
        <v>2600</v>
      </c>
      <c r="C46" s="161">
        <f>D46</f>
        <v>31200</v>
      </c>
      <c r="D46" s="87">
        <f>2600*12</f>
        <v>31200</v>
      </c>
      <c r="E46" s="29" t="s">
        <v>56</v>
      </c>
    </row>
    <row r="47" spans="1:21" x14ac:dyDescent="0.25">
      <c r="A47" s="159" t="s">
        <v>57</v>
      </c>
      <c r="B47" s="160">
        <f>D47*SUM(D31:D37)</f>
        <v>871.3048920368949</v>
      </c>
      <c r="C47" s="161">
        <f>B47*12</f>
        <v>10455.65870444274</v>
      </c>
      <c r="D47" s="87">
        <v>86.471971879377321</v>
      </c>
      <c r="E47" s="162" t="s">
        <v>58</v>
      </c>
      <c r="F47" s="13"/>
      <c r="H47" s="36"/>
    </row>
    <row r="48" spans="1:21" x14ac:dyDescent="0.25">
      <c r="A48" s="159" t="s">
        <v>59</v>
      </c>
      <c r="B48" s="160">
        <v>500</v>
      </c>
      <c r="C48" s="161">
        <f>B48*12</f>
        <v>6000</v>
      </c>
      <c r="D48" s="87">
        <v>6000</v>
      </c>
      <c r="E48" s="29" t="s">
        <v>56</v>
      </c>
      <c r="H48" s="36"/>
    </row>
    <row r="49" spans="1:8" x14ac:dyDescent="0.25">
      <c r="A49" s="159" t="s">
        <v>106</v>
      </c>
      <c r="B49" s="160">
        <v>75</v>
      </c>
      <c r="C49" s="161">
        <f>D49</f>
        <v>900</v>
      </c>
      <c r="D49" s="87">
        <v>900</v>
      </c>
      <c r="E49" s="29" t="s">
        <v>56</v>
      </c>
      <c r="F49" s="13"/>
      <c r="H49" s="36"/>
    </row>
    <row r="50" spans="1:8" x14ac:dyDescent="0.25">
      <c r="A50" s="159" t="s">
        <v>60</v>
      </c>
      <c r="B50" s="160">
        <f>Beds*D50</f>
        <v>930</v>
      </c>
      <c r="C50" s="22">
        <f>B50*12</f>
        <v>11160</v>
      </c>
      <c r="D50" s="88">
        <v>155</v>
      </c>
      <c r="E50" s="29" t="s">
        <v>61</v>
      </c>
      <c r="F50" s="13"/>
    </row>
    <row r="51" spans="1:8" x14ac:dyDescent="0.25">
      <c r="A51" s="159" t="s">
        <v>99</v>
      </c>
      <c r="B51" s="160">
        <f>D51*Beds</f>
        <v>450</v>
      </c>
      <c r="C51" s="22">
        <f>B51*12</f>
        <v>5400</v>
      </c>
      <c r="D51" s="88">
        <v>75</v>
      </c>
      <c r="E51" s="29" t="s">
        <v>61</v>
      </c>
    </row>
    <row r="52" spans="1:8" ht="30" x14ac:dyDescent="0.25">
      <c r="A52" s="159" t="s">
        <v>100</v>
      </c>
      <c r="B52" s="160">
        <f>Beds*D52</f>
        <v>420</v>
      </c>
      <c r="C52" s="22">
        <f>B52*12</f>
        <v>5040</v>
      </c>
      <c r="D52" s="88">
        <v>70</v>
      </c>
      <c r="E52" s="29" t="s">
        <v>61</v>
      </c>
    </row>
    <row r="53" spans="1:8" x14ac:dyDescent="0.25">
      <c r="A53" s="159" t="s">
        <v>62</v>
      </c>
      <c r="B53" s="160">
        <f t="shared" ref="B53:B56" si="1">D53*Beds</f>
        <v>300</v>
      </c>
      <c r="C53" s="22">
        <f t="shared" ref="C53:C56" si="2">B53*12</f>
        <v>3600</v>
      </c>
      <c r="D53" s="88">
        <v>50</v>
      </c>
      <c r="E53" s="29" t="s">
        <v>61</v>
      </c>
    </row>
    <row r="54" spans="1:8" x14ac:dyDescent="0.25">
      <c r="A54" s="159" t="s">
        <v>63</v>
      </c>
      <c r="B54" s="160">
        <f t="shared" si="1"/>
        <v>2124</v>
      </c>
      <c r="C54" s="22">
        <f t="shared" si="2"/>
        <v>25488</v>
      </c>
      <c r="D54" s="88">
        <v>354</v>
      </c>
      <c r="E54" s="29" t="s">
        <v>61</v>
      </c>
    </row>
    <row r="55" spans="1:8" ht="30" x14ac:dyDescent="0.25">
      <c r="A55" s="159" t="s">
        <v>64</v>
      </c>
      <c r="B55" s="86">
        <f>D55*Beds</f>
        <v>1380</v>
      </c>
      <c r="C55" s="22">
        <f>B55*12</f>
        <v>16560</v>
      </c>
      <c r="D55" s="88">
        <v>230</v>
      </c>
      <c r="E55" s="29" t="s">
        <v>61</v>
      </c>
    </row>
    <row r="56" spans="1:8" x14ac:dyDescent="0.25">
      <c r="A56" s="159" t="s">
        <v>65</v>
      </c>
      <c r="B56" s="86">
        <f t="shared" si="1"/>
        <v>1002</v>
      </c>
      <c r="C56" s="22">
        <f t="shared" si="2"/>
        <v>12024</v>
      </c>
      <c r="D56" s="88">
        <v>167</v>
      </c>
      <c r="E56" s="29" t="s">
        <v>61</v>
      </c>
    </row>
    <row r="57" spans="1:8" x14ac:dyDescent="0.25">
      <c r="A57" s="159" t="s">
        <v>105</v>
      </c>
      <c r="B57" s="86">
        <f>C57/12</f>
        <v>675</v>
      </c>
      <c r="C57" s="22">
        <f>D57</f>
        <v>8100</v>
      </c>
      <c r="D57" s="88">
        <v>8100</v>
      </c>
      <c r="E57" s="29" t="s">
        <v>56</v>
      </c>
    </row>
    <row r="58" spans="1:8" x14ac:dyDescent="0.25">
      <c r="A58" s="159" t="s">
        <v>66</v>
      </c>
      <c r="B58" s="86">
        <f>C58/12</f>
        <v>91.666666666666671</v>
      </c>
      <c r="C58" s="22">
        <v>1100</v>
      </c>
      <c r="D58" s="88">
        <v>1100</v>
      </c>
      <c r="E58" s="58" t="s">
        <v>56</v>
      </c>
    </row>
    <row r="59" spans="1:8" x14ac:dyDescent="0.25">
      <c r="A59" s="159" t="s">
        <v>67</v>
      </c>
      <c r="B59" s="28">
        <v>3390</v>
      </c>
      <c r="C59" s="84">
        <f>B59*12</f>
        <v>40680</v>
      </c>
      <c r="D59" s="93">
        <v>3390</v>
      </c>
      <c r="E59" s="30"/>
    </row>
    <row r="60" spans="1:8" x14ac:dyDescent="0.25">
      <c r="A60" s="102" t="s">
        <v>45</v>
      </c>
      <c r="B60" s="103">
        <f>SUM(B42:B59)</f>
        <v>20458.894635626639</v>
      </c>
      <c r="C60" s="103">
        <f>SUM(C42:C59)</f>
        <v>245508.58178136582</v>
      </c>
      <c r="D60" s="100"/>
      <c r="E60" s="101"/>
    </row>
    <row r="61" spans="1:8" ht="15.75" x14ac:dyDescent="0.25">
      <c r="E61" s="8"/>
      <c r="F61" s="8"/>
    </row>
    <row r="62" spans="1:8" x14ac:dyDescent="0.25">
      <c r="A62" s="208" t="s">
        <v>68</v>
      </c>
      <c r="B62" s="209"/>
    </row>
    <row r="63" spans="1:8" x14ac:dyDescent="0.25">
      <c r="A63" s="89" t="s">
        <v>69</v>
      </c>
      <c r="B63" s="90"/>
    </row>
    <row r="64" spans="1:8" x14ac:dyDescent="0.25">
      <c r="A64" s="91" t="s">
        <v>70</v>
      </c>
      <c r="B64" s="92"/>
    </row>
    <row r="69" spans="2:2" x14ac:dyDescent="0.25">
      <c r="B69" s="14"/>
    </row>
    <row r="71" spans="2:2" x14ac:dyDescent="0.25">
      <c r="B71" s="13"/>
    </row>
    <row r="72" spans="2:2" x14ac:dyDescent="0.25">
      <c r="B72" s="14"/>
    </row>
  </sheetData>
  <mergeCells count="12">
    <mergeCell ref="A1:G1"/>
    <mergeCell ref="A21:C21"/>
    <mergeCell ref="E28:F28"/>
    <mergeCell ref="A27:F27"/>
    <mergeCell ref="G6:H6"/>
    <mergeCell ref="A8:C8"/>
    <mergeCell ref="A14:C14"/>
    <mergeCell ref="A62:B62"/>
    <mergeCell ref="A4:G4"/>
    <mergeCell ref="A29:B29"/>
    <mergeCell ref="A40:E40"/>
    <mergeCell ref="A39:D39"/>
  </mergeCells>
  <hyperlinks>
    <hyperlink ref="E44" r:id="rId1" location=":~:text=The%20privately%20owned%20vehicle%20mileage%20reimbursement%20rate%20is,%240.655%20per%20mile%2C%20as%20of%20January%201%2C%202023." display="miles per month per youth at OFM milage" xr:uid="{02AFAAE2-E0AC-4187-B3FC-CC55A90584DB}"/>
  </hyperlinks>
  <pageMargins left="0.7" right="0.7" top="0.75" bottom="0.75" header="0.3" footer="0.3"/>
  <pageSetup orientation="landscape" r:id="rId2"/>
  <ignoredErrors>
    <ignoredError sqref="B5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C423A-3EC6-4993-90B1-3AB24DEE36B2}">
  <sheetPr codeName="Sheet8">
    <tabColor theme="4"/>
  </sheetPr>
  <dimension ref="B1:I30"/>
  <sheetViews>
    <sheetView zoomScaleNormal="100" workbookViewId="0">
      <selection activeCell="B9" sqref="B9:E9"/>
    </sheetView>
  </sheetViews>
  <sheetFormatPr defaultRowHeight="15" x14ac:dyDescent="0.25"/>
  <cols>
    <col min="2" max="2" width="41.7109375" bestFit="1" customWidth="1"/>
    <col min="3" max="3" width="12.85546875" bestFit="1" customWidth="1"/>
    <col min="4" max="4" width="17.42578125" bestFit="1" customWidth="1"/>
    <col min="5" max="5" width="17.7109375" customWidth="1"/>
    <col min="6" max="6" width="10.85546875" bestFit="1" customWidth="1"/>
    <col min="7" max="7" width="18.7109375" bestFit="1" customWidth="1"/>
    <col min="8" max="8" width="13.42578125" customWidth="1"/>
    <col min="9" max="9" width="18.7109375" customWidth="1"/>
  </cols>
  <sheetData>
    <row r="1" spans="2:9" ht="19.5" x14ac:dyDescent="0.3">
      <c r="B1" s="225" t="s">
        <v>109</v>
      </c>
      <c r="C1" s="225"/>
      <c r="D1" s="225"/>
      <c r="E1" s="225"/>
    </row>
    <row r="5" spans="2:9" x14ac:dyDescent="0.25">
      <c r="B5" s="33" t="s">
        <v>47</v>
      </c>
      <c r="C5" s="68" t="s">
        <v>48</v>
      </c>
      <c r="D5" s="68" t="s">
        <v>89</v>
      </c>
      <c r="E5" s="69" t="s">
        <v>90</v>
      </c>
    </row>
    <row r="6" spans="2:9" x14ac:dyDescent="0.25">
      <c r="B6" s="117" t="s">
        <v>32</v>
      </c>
      <c r="C6" s="118">
        <f>' Assumptions '!B30*' Assumptions '!C30</f>
        <v>1378.5</v>
      </c>
      <c r="D6" s="130">
        <f t="shared" ref="D6:D14" si="0">C6/$C$23</f>
        <v>1.7489097153257659E-2</v>
      </c>
      <c r="E6" s="120">
        <f>C6*12</f>
        <v>16542</v>
      </c>
    </row>
    <row r="7" spans="2:9" x14ac:dyDescent="0.25">
      <c r="B7" s="121" t="s">
        <v>33</v>
      </c>
      <c r="C7" s="122">
        <f>' Assumptions '!B31*' Assumptions '!C31</f>
        <v>2067.75</v>
      </c>
      <c r="D7" s="119">
        <f t="shared" si="0"/>
        <v>2.6233645729886488E-2</v>
      </c>
      <c r="E7" s="123">
        <f t="shared" ref="E7:E13" si="1">C7*12</f>
        <v>24813</v>
      </c>
    </row>
    <row r="8" spans="2:9" x14ac:dyDescent="0.25">
      <c r="B8" s="121" t="s">
        <v>91</v>
      </c>
      <c r="C8" s="122">
        <f>' Assumptions '!B32*' Assumptions '!C32</f>
        <v>5753.0375999999997</v>
      </c>
      <c r="D8" s="119">
        <f t="shared" si="0"/>
        <v>7.2989070375585247E-2</v>
      </c>
      <c r="E8" s="123">
        <f t="shared" si="1"/>
        <v>69036.451199999996</v>
      </c>
    </row>
    <row r="9" spans="2:9" x14ac:dyDescent="0.25">
      <c r="B9" s="121" t="s">
        <v>36</v>
      </c>
      <c r="C9" s="122">
        <f>' Assumptions '!B33*' Assumptions '!C33</f>
        <v>2108.799</v>
      </c>
      <c r="D9" s="119">
        <f t="shared" si="0"/>
        <v>2.6754436407466518E-2</v>
      </c>
      <c r="E9" s="123">
        <f t="shared" si="1"/>
        <v>25305.588</v>
      </c>
    </row>
    <row r="10" spans="2:9" x14ac:dyDescent="0.25">
      <c r="B10" s="121" t="s">
        <v>37</v>
      </c>
      <c r="C10" s="122">
        <f>' Assumptions '!B34*' Assumptions '!C34</f>
        <v>32067.5</v>
      </c>
      <c r="D10" s="119">
        <f t="shared" si="0"/>
        <v>0.40684194629096115</v>
      </c>
      <c r="E10" s="123">
        <f t="shared" si="1"/>
        <v>384810</v>
      </c>
    </row>
    <row r="11" spans="2:9" x14ac:dyDescent="0.25">
      <c r="B11" s="121" t="s">
        <v>38</v>
      </c>
      <c r="C11" s="122">
        <f>' Assumptions '!B35*' Assumptions '!C35</f>
        <v>3822.5</v>
      </c>
      <c r="D11" s="119">
        <f t="shared" si="0"/>
        <v>4.8496245098532752E-2</v>
      </c>
      <c r="E11" s="123">
        <f t="shared" si="1"/>
        <v>45870</v>
      </c>
    </row>
    <row r="12" spans="2:9" x14ac:dyDescent="0.25">
      <c r="B12" s="121" t="s">
        <v>39</v>
      </c>
      <c r="C12" s="122">
        <f>' Assumptions '!B36*' Assumptions '!C36</f>
        <v>366.46000000000004</v>
      </c>
      <c r="D12" s="119">
        <f t="shared" si="0"/>
        <v>4.6492960049204224E-3</v>
      </c>
      <c r="E12" s="123">
        <f t="shared" si="1"/>
        <v>4397.5200000000004</v>
      </c>
    </row>
    <row r="13" spans="2:9" x14ac:dyDescent="0.25">
      <c r="B13" s="121" t="s">
        <v>42</v>
      </c>
      <c r="C13" s="122">
        <f>' Assumptions '!B37*' Assumptions '!C37</f>
        <v>1102.4423076923076</v>
      </c>
      <c r="D13" s="119">
        <f t="shared" si="0"/>
        <v>1.3986739662743809E-2</v>
      </c>
      <c r="E13" s="123">
        <f t="shared" si="1"/>
        <v>13229.307692307691</v>
      </c>
      <c r="I13" s="14"/>
    </row>
    <row r="14" spans="2:9" x14ac:dyDescent="0.25">
      <c r="B14" s="129" t="s">
        <v>92</v>
      </c>
      <c r="C14" s="118">
        <f>SUM(C6:C13)</f>
        <v>48666.988907692299</v>
      </c>
      <c r="D14" s="130">
        <f t="shared" si="0"/>
        <v>0.61744047672335389</v>
      </c>
      <c r="E14" s="120">
        <f>SUM(E6:E13)</f>
        <v>584003.86689230776</v>
      </c>
      <c r="I14" s="14"/>
    </row>
    <row r="15" spans="2:9" x14ac:dyDescent="0.25">
      <c r="B15" s="104"/>
      <c r="C15" s="105"/>
      <c r="D15" s="106"/>
      <c r="E15" s="70"/>
      <c r="I15" s="14"/>
    </row>
    <row r="16" spans="2:9" x14ac:dyDescent="0.25">
      <c r="B16" s="116" t="s">
        <v>7</v>
      </c>
      <c r="C16" s="110">
        <f>($C$14+C21)*0.05*' Assumptions '!B10</f>
        <v>691.25883543318946</v>
      </c>
      <c r="D16" s="111">
        <f>C16/$C$23</f>
        <v>8.7700347703582142E-3</v>
      </c>
      <c r="E16" s="112">
        <f>C16*12</f>
        <v>8295.1060251982744</v>
      </c>
      <c r="G16" s="3"/>
      <c r="I16" s="14"/>
    </row>
    <row r="17" spans="2:9" x14ac:dyDescent="0.25">
      <c r="B17" s="116" t="s">
        <v>8</v>
      </c>
      <c r="C17" s="110">
        <f>$C$14*' Assumptions '!B11</f>
        <v>8273.3881143076906</v>
      </c>
      <c r="D17" s="111">
        <f>C17/$C$23</f>
        <v>0.10496488104297017</v>
      </c>
      <c r="E17" s="112">
        <f t="shared" ref="E17:E18" si="2">C17*12</f>
        <v>99280.657371692287</v>
      </c>
    </row>
    <row r="18" spans="2:9" x14ac:dyDescent="0.25">
      <c r="B18" s="131" t="s">
        <v>9</v>
      </c>
      <c r="C18" s="113">
        <f>$C$14*' Assumptions '!B12</f>
        <v>730.00483361538443</v>
      </c>
      <c r="D18" s="114">
        <f>C18/$C$23</f>
        <v>9.2616071508503078E-3</v>
      </c>
      <c r="E18" s="115">
        <f t="shared" si="2"/>
        <v>8760.0580033846127</v>
      </c>
    </row>
    <row r="19" spans="2:9" x14ac:dyDescent="0.25">
      <c r="B19" s="125" t="s">
        <v>3</v>
      </c>
      <c r="C19" s="110">
        <f>SUM(C16:C18)</f>
        <v>9694.6517833562648</v>
      </c>
      <c r="D19" s="111">
        <f>C19/$C$23</f>
        <v>0.12299652296417869</v>
      </c>
      <c r="E19" s="112">
        <f>SUM(E16:E18)</f>
        <v>116335.82140027516</v>
      </c>
      <c r="I19" s="37"/>
    </row>
    <row r="20" spans="2:9" x14ac:dyDescent="0.25">
      <c r="B20" s="124"/>
      <c r="C20" s="107"/>
      <c r="D20" s="108"/>
      <c r="E20" s="109"/>
      <c r="I20" s="37"/>
    </row>
    <row r="21" spans="2:9" x14ac:dyDescent="0.25">
      <c r="B21" s="126" t="s">
        <v>93</v>
      </c>
      <c r="C21" s="127">
        <f>SUM(' Assumptions '!B42:B59)</f>
        <v>20458.894635626639</v>
      </c>
      <c r="D21" s="132">
        <f>C21/$C$23</f>
        <v>0.25956300031246732</v>
      </c>
      <c r="E21" s="128">
        <f t="shared" ref="E21:E23" si="3">C21*12</f>
        <v>245506.73562751967</v>
      </c>
      <c r="G21" s="36"/>
    </row>
    <row r="22" spans="2:9" x14ac:dyDescent="0.25">
      <c r="G22" s="36"/>
    </row>
    <row r="23" spans="2:9" x14ac:dyDescent="0.25">
      <c r="B23" s="133" t="s">
        <v>94</v>
      </c>
      <c r="C23" s="134">
        <f>SUM(C14,C19,C21)</f>
        <v>78820.535326675206</v>
      </c>
      <c r="D23" s="135">
        <f>SUM(D14,D19,D21)</f>
        <v>1</v>
      </c>
      <c r="E23" s="136">
        <f t="shared" si="3"/>
        <v>945846.42392010242</v>
      </c>
      <c r="I23" s="14"/>
    </row>
    <row r="24" spans="2:9" x14ac:dyDescent="0.25">
      <c r="B24" s="137" t="s">
        <v>95</v>
      </c>
      <c r="C24" s="138">
        <f>ROUND(C23/' Assumptions '!Beds,0)</f>
        <v>13137</v>
      </c>
      <c r="D24" s="139"/>
      <c r="E24" s="140"/>
      <c r="F24" s="38"/>
    </row>
    <row r="25" spans="2:9" x14ac:dyDescent="0.25">
      <c r="C25" s="13"/>
      <c r="E25" s="39"/>
      <c r="F25" s="14"/>
    </row>
    <row r="26" spans="2:9" x14ac:dyDescent="0.25">
      <c r="B26" t="s">
        <v>138</v>
      </c>
      <c r="C26" s="3">
        <v>0.47</v>
      </c>
      <c r="D26" s="14">
        <f>ROUND(C24*C26,0)</f>
        <v>6174</v>
      </c>
      <c r="E26" s="39"/>
      <c r="F26" s="14"/>
    </row>
    <row r="27" spans="2:9" x14ac:dyDescent="0.25">
      <c r="B27" t="s">
        <v>111</v>
      </c>
      <c r="D27" s="14">
        <f>C24-D26</f>
        <v>6963</v>
      </c>
      <c r="E27" s="39"/>
      <c r="F27" s="14"/>
    </row>
    <row r="28" spans="2:9" hidden="1" x14ac:dyDescent="0.25">
      <c r="B28" s="2" t="s">
        <v>96</v>
      </c>
      <c r="C28" s="13">
        <f>C24*0.45</f>
        <v>5911.6500000000005</v>
      </c>
      <c r="E28" s="39"/>
    </row>
    <row r="29" spans="2:9" hidden="1" x14ac:dyDescent="0.25">
      <c r="B29" s="2" t="s">
        <v>97</v>
      </c>
      <c r="C29" s="13">
        <f>C24-C28</f>
        <v>7225.3499999999995</v>
      </c>
    </row>
    <row r="30" spans="2:9" x14ac:dyDescent="0.25">
      <c r="G30" s="14"/>
    </row>
  </sheetData>
  <mergeCells count="1">
    <mergeCell ref="B1:E1"/>
  </mergeCell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30B6D-11A3-467A-AAC3-636FB79DE795}">
  <sheetPr codeName="Sheet7">
    <tabColor theme="4"/>
  </sheetPr>
  <dimension ref="B1:T43"/>
  <sheetViews>
    <sheetView topLeftCell="A16" workbookViewId="0">
      <selection activeCell="E6" sqref="E6:E20"/>
    </sheetView>
  </sheetViews>
  <sheetFormatPr defaultRowHeight="15" x14ac:dyDescent="0.25"/>
  <cols>
    <col min="2" max="2" width="19.28515625" customWidth="1"/>
    <col min="3" max="3" width="13.42578125" customWidth="1"/>
    <col min="4" max="4" width="17" customWidth="1"/>
    <col min="5" max="5" width="11.5703125" customWidth="1"/>
    <col min="6" max="6" width="9.5703125" customWidth="1"/>
    <col min="8" max="8" width="31.140625" customWidth="1"/>
    <col min="9" max="9" width="18" customWidth="1"/>
    <col min="11" max="12" width="9.42578125" customWidth="1"/>
    <col min="13" max="13" width="9.5703125" customWidth="1"/>
    <col min="15" max="15" width="3.85546875" customWidth="1"/>
  </cols>
  <sheetData>
    <row r="1" spans="2:20" ht="20.25" thickBot="1" x14ac:dyDescent="0.35">
      <c r="B1" s="219" t="s">
        <v>71</v>
      </c>
      <c r="C1" s="219"/>
      <c r="D1" s="219"/>
      <c r="E1" s="219"/>
      <c r="F1" s="219"/>
    </row>
    <row r="2" spans="2:20" ht="15.75" thickTop="1" x14ac:dyDescent="0.25"/>
    <row r="4" spans="2:20" ht="45" customHeight="1" x14ac:dyDescent="0.25">
      <c r="B4" s="226" t="s">
        <v>72</v>
      </c>
      <c r="C4" s="226"/>
      <c r="D4" s="53" t="s">
        <v>73</v>
      </c>
      <c r="E4" s="53" t="s">
        <v>74</v>
      </c>
      <c r="F4" s="54" t="s">
        <v>75</v>
      </c>
      <c r="J4" s="40"/>
      <c r="K4" s="41"/>
      <c r="L4" s="41"/>
      <c r="M4" s="41"/>
      <c r="N4" s="41"/>
      <c r="O4" s="40"/>
    </row>
    <row r="5" spans="2:20" ht="14.45" customHeight="1" x14ac:dyDescent="0.25">
      <c r="B5" s="227" t="s">
        <v>76</v>
      </c>
      <c r="C5" s="77">
        <v>0.33333333333333331</v>
      </c>
      <c r="D5" s="56">
        <v>1</v>
      </c>
      <c r="E5" s="56">
        <v>2</v>
      </c>
      <c r="F5" s="71"/>
      <c r="H5" s="42"/>
      <c r="I5" s="42"/>
      <c r="K5" s="43"/>
      <c r="L5" s="40"/>
      <c r="M5" s="40"/>
      <c r="O5" s="40"/>
      <c r="P5" s="40"/>
      <c r="Q5" s="44"/>
      <c r="R5" s="44"/>
      <c r="S5" s="44"/>
      <c r="T5" s="44"/>
    </row>
    <row r="6" spans="2:20" x14ac:dyDescent="0.25">
      <c r="B6" s="228"/>
      <c r="C6" s="77">
        <v>0.375</v>
      </c>
      <c r="D6" s="60">
        <v>1</v>
      </c>
      <c r="E6" s="60">
        <v>2</v>
      </c>
      <c r="F6" s="72"/>
      <c r="H6" s="42"/>
      <c r="I6" s="42"/>
      <c r="K6" s="43"/>
      <c r="L6" s="40"/>
      <c r="M6" s="40"/>
      <c r="N6" s="40"/>
      <c r="O6" s="40"/>
      <c r="P6" s="40"/>
      <c r="Q6" s="44"/>
      <c r="R6" s="44"/>
      <c r="S6" s="44"/>
      <c r="T6" s="44"/>
    </row>
    <row r="7" spans="2:20" x14ac:dyDescent="0.25">
      <c r="B7" s="228"/>
      <c r="C7" s="77">
        <v>0.41666666666666669</v>
      </c>
      <c r="D7" s="60">
        <v>1</v>
      </c>
      <c r="E7" s="60">
        <v>2</v>
      </c>
      <c r="F7" s="72"/>
      <c r="H7" s="42"/>
      <c r="I7" s="42"/>
      <c r="K7" s="43"/>
      <c r="L7" s="40"/>
      <c r="M7" s="40"/>
      <c r="N7" s="40"/>
      <c r="O7" s="40"/>
      <c r="P7" s="40"/>
      <c r="Q7" s="44"/>
      <c r="R7" s="44"/>
      <c r="S7" s="44"/>
      <c r="T7" s="44"/>
    </row>
    <row r="8" spans="2:20" x14ac:dyDescent="0.25">
      <c r="B8" s="228"/>
      <c r="C8" s="77">
        <v>0.45833333333333331</v>
      </c>
      <c r="D8" s="60">
        <v>1</v>
      </c>
      <c r="E8" s="60">
        <v>2</v>
      </c>
      <c r="F8" s="72"/>
      <c r="H8" s="42"/>
      <c r="I8" s="42"/>
      <c r="K8" s="43"/>
      <c r="L8" s="40"/>
      <c r="M8" s="40"/>
      <c r="N8" s="40"/>
      <c r="O8" s="40"/>
      <c r="P8" s="40"/>
      <c r="Q8" s="44"/>
      <c r="R8" s="44"/>
      <c r="S8" s="44"/>
      <c r="T8" s="44"/>
    </row>
    <row r="9" spans="2:20" x14ac:dyDescent="0.25">
      <c r="B9" s="228" t="s">
        <v>77</v>
      </c>
      <c r="C9" s="77">
        <v>0.5</v>
      </c>
      <c r="D9" s="60">
        <v>1</v>
      </c>
      <c r="E9" s="60">
        <v>2</v>
      </c>
      <c r="F9" s="72"/>
      <c r="H9" s="42"/>
      <c r="I9" s="42"/>
      <c r="K9" s="43"/>
      <c r="L9" s="40"/>
      <c r="M9" s="40"/>
      <c r="N9" s="40"/>
      <c r="O9" s="40"/>
      <c r="P9" s="40"/>
      <c r="Q9" s="44"/>
      <c r="R9" s="44"/>
      <c r="S9" s="44"/>
      <c r="T9" s="44"/>
    </row>
    <row r="10" spans="2:20" x14ac:dyDescent="0.25">
      <c r="B10" s="228"/>
      <c r="C10" s="77">
        <v>0.54166666666666663</v>
      </c>
      <c r="D10" s="60">
        <v>1</v>
      </c>
      <c r="E10" s="60">
        <v>2</v>
      </c>
      <c r="F10" s="72"/>
      <c r="H10" s="42"/>
      <c r="K10" s="43"/>
      <c r="L10" s="40"/>
      <c r="M10" s="40"/>
      <c r="N10" s="40"/>
      <c r="O10" s="40"/>
      <c r="P10" s="40"/>
      <c r="Q10" s="44"/>
      <c r="R10" s="44"/>
      <c r="S10" s="44"/>
      <c r="T10" s="44"/>
    </row>
    <row r="11" spans="2:20" x14ac:dyDescent="0.25">
      <c r="B11" s="228"/>
      <c r="C11" s="77">
        <v>0.58333333333333337</v>
      </c>
      <c r="D11" s="60">
        <v>1</v>
      </c>
      <c r="E11" s="60">
        <v>2</v>
      </c>
      <c r="F11" s="72"/>
      <c r="H11" s="42"/>
      <c r="K11" s="43"/>
      <c r="L11" s="40"/>
      <c r="M11" s="40"/>
      <c r="N11" s="40"/>
      <c r="O11" s="40"/>
      <c r="P11" s="40"/>
      <c r="Q11" s="44"/>
      <c r="R11" s="44"/>
      <c r="S11" s="44"/>
      <c r="T11" s="44"/>
    </row>
    <row r="12" spans="2:20" x14ac:dyDescent="0.25">
      <c r="B12" s="228"/>
      <c r="C12" s="78">
        <v>0.625</v>
      </c>
      <c r="D12" s="57">
        <v>1</v>
      </c>
      <c r="E12" s="57">
        <v>2</v>
      </c>
      <c r="F12" s="72"/>
      <c r="H12" s="42"/>
      <c r="K12" s="43"/>
      <c r="L12" s="40"/>
      <c r="M12" s="40"/>
      <c r="N12" s="40"/>
      <c r="O12" s="45"/>
      <c r="P12" s="40"/>
      <c r="Q12" s="44"/>
      <c r="R12" s="44"/>
      <c r="S12" s="44"/>
      <c r="T12" s="44"/>
    </row>
    <row r="13" spans="2:20" x14ac:dyDescent="0.25">
      <c r="B13" s="228"/>
      <c r="C13" s="79">
        <v>0.66666666666666663</v>
      </c>
      <c r="D13" s="55">
        <v>2</v>
      </c>
      <c r="E13" s="55">
        <v>2</v>
      </c>
      <c r="F13" s="73"/>
      <c r="K13" s="43"/>
      <c r="L13" s="40"/>
      <c r="M13" s="40"/>
      <c r="N13" s="40"/>
      <c r="O13" s="40"/>
      <c r="P13" s="40"/>
    </row>
    <row r="14" spans="2:20" x14ac:dyDescent="0.25">
      <c r="B14" s="228"/>
      <c r="C14" s="77">
        <v>0.70833333333333337</v>
      </c>
      <c r="D14" s="60">
        <v>2</v>
      </c>
      <c r="E14" s="60">
        <v>2</v>
      </c>
      <c r="F14" s="72"/>
      <c r="K14" s="43"/>
      <c r="L14" s="40"/>
      <c r="M14" s="40"/>
      <c r="N14" s="40"/>
      <c r="O14" s="40"/>
      <c r="P14" s="40"/>
      <c r="Q14" s="205"/>
      <c r="R14" s="205"/>
      <c r="S14" s="205"/>
      <c r="T14" s="205"/>
    </row>
    <row r="15" spans="2:20" x14ac:dyDescent="0.25">
      <c r="B15" s="228"/>
      <c r="C15" s="77">
        <v>0.75</v>
      </c>
      <c r="D15" s="60">
        <v>2</v>
      </c>
      <c r="E15" s="60">
        <v>2</v>
      </c>
      <c r="F15" s="72"/>
      <c r="L15" s="40"/>
      <c r="M15" s="40"/>
      <c r="N15" s="40"/>
      <c r="O15" s="40"/>
      <c r="P15" s="40"/>
    </row>
    <row r="16" spans="2:20" x14ac:dyDescent="0.25">
      <c r="B16" s="228"/>
      <c r="C16" s="77">
        <v>0.79166666666666663</v>
      </c>
      <c r="D16" s="60">
        <v>2</v>
      </c>
      <c r="E16" s="60">
        <v>2</v>
      </c>
      <c r="F16" s="72"/>
      <c r="L16" s="40"/>
      <c r="M16" s="40"/>
      <c r="N16" s="40"/>
      <c r="O16" s="40"/>
      <c r="P16" s="40"/>
    </row>
    <row r="17" spans="2:16" x14ac:dyDescent="0.25">
      <c r="B17" s="228"/>
      <c r="C17" s="77">
        <v>0.83333333333333337</v>
      </c>
      <c r="D17" s="60">
        <v>2</v>
      </c>
      <c r="E17" s="60">
        <v>2</v>
      </c>
      <c r="F17" s="72"/>
      <c r="L17" s="40"/>
      <c r="M17" s="40"/>
      <c r="N17" s="40"/>
      <c r="O17" s="40"/>
      <c r="P17" s="40"/>
    </row>
    <row r="18" spans="2:16" x14ac:dyDescent="0.25">
      <c r="B18" s="228"/>
      <c r="C18" s="77">
        <v>0.875</v>
      </c>
      <c r="D18" s="60">
        <v>2</v>
      </c>
      <c r="E18" s="60">
        <v>2</v>
      </c>
      <c r="F18" s="72"/>
      <c r="L18" s="40"/>
      <c r="M18" s="40"/>
      <c r="N18" s="40"/>
      <c r="O18" s="40"/>
      <c r="P18" s="40"/>
    </row>
    <row r="19" spans="2:16" x14ac:dyDescent="0.25">
      <c r="B19" s="228"/>
      <c r="C19" s="77">
        <v>0.91666666666666663</v>
      </c>
      <c r="D19" s="60">
        <v>2</v>
      </c>
      <c r="E19" s="60">
        <v>2</v>
      </c>
      <c r="F19" s="72"/>
      <c r="K19" s="43"/>
      <c r="L19" s="40"/>
      <c r="M19" s="40"/>
      <c r="N19" s="40"/>
      <c r="O19" s="40"/>
      <c r="P19" s="40"/>
    </row>
    <row r="20" spans="2:16" x14ac:dyDescent="0.25">
      <c r="B20" s="228"/>
      <c r="C20" s="77">
        <v>0.95833333333333337</v>
      </c>
      <c r="D20" s="60">
        <v>2</v>
      </c>
      <c r="E20" s="60">
        <v>2</v>
      </c>
      <c r="F20" s="72"/>
      <c r="K20" s="43"/>
      <c r="L20" s="40"/>
      <c r="M20" s="40"/>
      <c r="N20" s="40"/>
      <c r="O20" s="40"/>
      <c r="P20" s="40"/>
    </row>
    <row r="21" spans="2:16" x14ac:dyDescent="0.25">
      <c r="B21" s="229" t="s">
        <v>78</v>
      </c>
      <c r="C21" s="80">
        <v>0</v>
      </c>
      <c r="D21" s="75"/>
      <c r="E21" s="75"/>
      <c r="F21" s="59">
        <v>2</v>
      </c>
      <c r="K21" s="43"/>
      <c r="L21" s="40"/>
      <c r="M21" s="40"/>
      <c r="N21" s="40"/>
      <c r="O21" s="40"/>
      <c r="P21" s="40"/>
    </row>
    <row r="22" spans="2:16" x14ac:dyDescent="0.25">
      <c r="B22" s="229"/>
      <c r="C22" s="81">
        <v>4.1666666666666664E-2</v>
      </c>
      <c r="D22" s="74"/>
      <c r="E22" s="74"/>
      <c r="F22" s="59">
        <v>2</v>
      </c>
      <c r="K22" s="43"/>
      <c r="L22" s="40"/>
      <c r="M22" s="40"/>
      <c r="N22" s="40"/>
      <c r="O22" s="40"/>
      <c r="P22" s="40"/>
    </row>
    <row r="23" spans="2:16" x14ac:dyDescent="0.25">
      <c r="B23" s="229"/>
      <c r="C23" s="81">
        <v>8.3333333333333329E-2</v>
      </c>
      <c r="D23" s="74"/>
      <c r="E23" s="74"/>
      <c r="F23" s="59">
        <v>2</v>
      </c>
      <c r="K23" s="43"/>
      <c r="L23" s="40"/>
      <c r="M23" s="40"/>
      <c r="N23" s="40"/>
      <c r="O23" s="40"/>
      <c r="P23" s="40"/>
    </row>
    <row r="24" spans="2:16" x14ac:dyDescent="0.25">
      <c r="B24" s="229"/>
      <c r="C24" s="81">
        <v>0.125</v>
      </c>
      <c r="D24" s="74"/>
      <c r="E24" s="74"/>
      <c r="F24" s="59">
        <v>2</v>
      </c>
      <c r="K24" s="43"/>
      <c r="L24" s="40"/>
      <c r="M24" s="40"/>
      <c r="N24" s="40"/>
      <c r="O24" s="40"/>
      <c r="P24" s="40"/>
    </row>
    <row r="25" spans="2:16" x14ac:dyDescent="0.25">
      <c r="B25" s="229"/>
      <c r="C25" s="81">
        <v>0.16666666666666666</v>
      </c>
      <c r="D25" s="74"/>
      <c r="E25" s="74"/>
      <c r="F25" s="59">
        <v>2</v>
      </c>
      <c r="K25" s="43"/>
      <c r="L25" s="40"/>
      <c r="M25" s="40"/>
      <c r="N25" s="40"/>
      <c r="O25" s="40"/>
      <c r="P25" s="40"/>
    </row>
    <row r="26" spans="2:16" x14ac:dyDescent="0.25">
      <c r="B26" s="229"/>
      <c r="C26" s="81">
        <v>0.20833333333333334</v>
      </c>
      <c r="D26" s="74"/>
      <c r="E26" s="74"/>
      <c r="F26" s="59">
        <v>2</v>
      </c>
    </row>
    <row r="27" spans="2:16" x14ac:dyDescent="0.25">
      <c r="B27" s="229"/>
      <c r="C27" s="81">
        <v>0.25</v>
      </c>
      <c r="D27" s="74"/>
      <c r="E27" s="74"/>
      <c r="F27" s="59">
        <v>2</v>
      </c>
    </row>
    <row r="28" spans="2:16" x14ac:dyDescent="0.25">
      <c r="B28" s="229"/>
      <c r="C28" s="82">
        <v>0.29166666666666669</v>
      </c>
      <c r="D28" s="76"/>
      <c r="E28" s="76"/>
      <c r="F28" s="59">
        <v>2</v>
      </c>
    </row>
    <row r="29" spans="2:16" ht="15.75" thickBot="1" x14ac:dyDescent="0.3">
      <c r="B29" s="40"/>
      <c r="C29" s="40"/>
    </row>
    <row r="30" spans="2:16" x14ac:dyDescent="0.25">
      <c r="B30" s="231" t="s">
        <v>79</v>
      </c>
      <c r="C30" s="232"/>
      <c r="D30" s="15">
        <f>SUM(D5:D28)</f>
        <v>24</v>
      </c>
      <c r="E30" s="15">
        <f>SUM(E5:E28)</f>
        <v>32</v>
      </c>
      <c r="F30" s="15">
        <f>SUM(F5:F28)</f>
        <v>16</v>
      </c>
      <c r="G30" s="142">
        <f>SUM(D30:F30)</f>
        <v>72</v>
      </c>
      <c r="P30" s="151"/>
    </row>
    <row r="31" spans="2:16" x14ac:dyDescent="0.25">
      <c r="B31" s="230" t="s">
        <v>80</v>
      </c>
      <c r="C31" s="220"/>
      <c r="D31" s="151">
        <f>D30*5</f>
        <v>120</v>
      </c>
      <c r="E31" s="151">
        <f>E30*2</f>
        <v>64</v>
      </c>
      <c r="F31" s="151">
        <f>F30*7</f>
        <v>112</v>
      </c>
      <c r="G31" s="143">
        <f t="shared" ref="G31:G34" si="0">SUM(D31:F31)</f>
        <v>296</v>
      </c>
      <c r="P31" s="148"/>
    </row>
    <row r="32" spans="2:16" x14ac:dyDescent="0.25">
      <c r="B32" s="230" t="s">
        <v>81</v>
      </c>
      <c r="C32" s="220"/>
      <c r="D32" s="151">
        <f>D31*52</f>
        <v>6240</v>
      </c>
      <c r="E32" s="151">
        <f>E31*52</f>
        <v>3328</v>
      </c>
      <c r="F32" s="151">
        <f>F31*52</f>
        <v>5824</v>
      </c>
      <c r="G32" s="143">
        <f t="shared" si="0"/>
        <v>15392</v>
      </c>
      <c r="P32" s="46"/>
    </row>
    <row r="33" spans="2:17" x14ac:dyDescent="0.25">
      <c r="B33" s="230" t="s">
        <v>82</v>
      </c>
      <c r="C33" s="220"/>
      <c r="D33" s="47">
        <f>D32/12</f>
        <v>520</v>
      </c>
      <c r="E33" s="47">
        <f>E32/12</f>
        <v>277.33333333333331</v>
      </c>
      <c r="F33" s="47">
        <f>F32/12</f>
        <v>485.33333333333331</v>
      </c>
      <c r="G33" s="144">
        <f t="shared" si="0"/>
        <v>1282.6666666666665</v>
      </c>
    </row>
    <row r="34" spans="2:17" ht="15.75" thickBot="1" x14ac:dyDescent="0.3">
      <c r="B34" s="233" t="s">
        <v>83</v>
      </c>
      <c r="C34" s="234"/>
      <c r="D34" s="48">
        <f>D32/2080</f>
        <v>3</v>
      </c>
      <c r="E34" s="48">
        <f>E32/2080</f>
        <v>1.6</v>
      </c>
      <c r="F34" s="48">
        <f>F32/2080</f>
        <v>2.8</v>
      </c>
      <c r="G34" s="145">
        <f t="shared" si="0"/>
        <v>7.3999999999999995</v>
      </c>
    </row>
    <row r="35" spans="2:17" x14ac:dyDescent="0.25">
      <c r="B35" s="49"/>
      <c r="D35" s="46"/>
      <c r="E35" s="46"/>
      <c r="F35" s="46"/>
      <c r="G35" s="151"/>
      <c r="I35" s="50"/>
      <c r="P35" s="151"/>
      <c r="Q35" s="46"/>
    </row>
    <row r="37" spans="2:17" x14ac:dyDescent="0.25">
      <c r="B37" s="220"/>
      <c r="C37" s="220"/>
      <c r="D37" s="220"/>
      <c r="E37" s="220"/>
      <c r="F37" s="220"/>
    </row>
    <row r="38" spans="2:17" x14ac:dyDescent="0.25">
      <c r="B38" s="26"/>
      <c r="C38" s="27" t="s">
        <v>84</v>
      </c>
      <c r="D38" s="67" t="s">
        <v>85</v>
      </c>
    </row>
    <row r="39" spans="2:17" x14ac:dyDescent="0.25">
      <c r="B39" s="61" t="s">
        <v>86</v>
      </c>
      <c r="C39" s="65">
        <f>' Assumptions '!B16</f>
        <v>120</v>
      </c>
      <c r="D39" s="62">
        <f>C39/(2080)</f>
        <v>5.7692307692307696E-2</v>
      </c>
      <c r="E39" s="36"/>
      <c r="F39" s="36"/>
    </row>
    <row r="40" spans="2:17" x14ac:dyDescent="0.25">
      <c r="B40" s="61" t="s">
        <v>87</v>
      </c>
      <c r="C40" s="65">
        <f>' Assumptions '!B17</f>
        <v>88</v>
      </c>
      <c r="D40" s="62">
        <f t="shared" ref="D40:D41" si="1">C40/(2080)</f>
        <v>4.230769230769231E-2</v>
      </c>
      <c r="E40" s="36"/>
      <c r="F40" s="36"/>
    </row>
    <row r="41" spans="2:17" x14ac:dyDescent="0.25">
      <c r="B41" s="63" t="s">
        <v>88</v>
      </c>
      <c r="C41" s="66">
        <f>' Assumptions '!B18</f>
        <v>40</v>
      </c>
      <c r="D41" s="64">
        <f t="shared" si="1"/>
        <v>1.9230769230769232E-2</v>
      </c>
      <c r="E41" s="36"/>
      <c r="F41" s="36"/>
    </row>
    <row r="42" spans="2:17" x14ac:dyDescent="0.25">
      <c r="C42" s="151"/>
    </row>
    <row r="43" spans="2:17" x14ac:dyDescent="0.25">
      <c r="E43" s="3"/>
    </row>
  </sheetData>
  <mergeCells count="12">
    <mergeCell ref="B4:C4"/>
    <mergeCell ref="B1:F1"/>
    <mergeCell ref="Q14:T14"/>
    <mergeCell ref="B37:F37"/>
    <mergeCell ref="B5:B8"/>
    <mergeCell ref="B9:B20"/>
    <mergeCell ref="B21:B28"/>
    <mergeCell ref="B33:C33"/>
    <mergeCell ref="B30:C30"/>
    <mergeCell ref="B31:C31"/>
    <mergeCell ref="B32:C32"/>
    <mergeCell ref="B34:C3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DB788-3AB5-4BAD-BFDC-D5980C0AEF9F}">
  <sheetPr codeName="Sheet9"/>
  <dimension ref="D2:I26"/>
  <sheetViews>
    <sheetView workbookViewId="0">
      <selection activeCell="E24" sqref="E24"/>
    </sheetView>
  </sheetViews>
  <sheetFormatPr defaultRowHeight="15" x14ac:dyDescent="0.25"/>
  <cols>
    <col min="4" max="4" width="13.140625" customWidth="1"/>
    <col min="5" max="5" width="53.28515625" customWidth="1"/>
    <col min="6" max="6" width="28.140625" customWidth="1"/>
    <col min="7" max="7" width="25.5703125" customWidth="1"/>
    <col min="8" max="8" width="12.85546875" customWidth="1"/>
  </cols>
  <sheetData>
    <row r="2" spans="4:7" x14ac:dyDescent="0.25">
      <c r="E2" s="4"/>
    </row>
    <row r="3" spans="4:7" x14ac:dyDescent="0.25">
      <c r="E3" s="4" t="s">
        <v>112</v>
      </c>
      <c r="F3" t="s">
        <v>131</v>
      </c>
      <c r="G3" s="4" t="s">
        <v>130</v>
      </c>
    </row>
    <row r="4" spans="4:7" x14ac:dyDescent="0.25">
      <c r="D4" s="133" t="s">
        <v>132</v>
      </c>
      <c r="E4" s="166" t="s">
        <v>118</v>
      </c>
      <c r="F4" s="167" t="s">
        <v>114</v>
      </c>
      <c r="G4" s="168">
        <f>' Assumptions '!$B$59</f>
        <v>3390</v>
      </c>
    </row>
    <row r="5" spans="4:7" x14ac:dyDescent="0.25">
      <c r="D5" s="175"/>
      <c r="E5" s="170" t="s">
        <v>119</v>
      </c>
      <c r="F5" t="s">
        <v>128</v>
      </c>
      <c r="G5" s="173">
        <f>(' Assumptions '!D31/' Assumptions '!D38*'Rate Summary'!C17)+'Rate Summary'!C7</f>
        <v>2206.6453793119113</v>
      </c>
    </row>
    <row r="6" spans="4:7" x14ac:dyDescent="0.25">
      <c r="D6" s="169"/>
      <c r="F6" t="s">
        <v>77</v>
      </c>
      <c r="G6" s="172">
        <f>'Rate Summary'!C8+' Assumptions '!D47+' Assumptions '!B48+' Assumptions '!B49+(1/' Assumptions '!D38*'Rate Summary'!C17)</f>
        <v>7231.5412148906198</v>
      </c>
    </row>
    <row r="7" spans="4:7" x14ac:dyDescent="0.25">
      <c r="D7" s="169"/>
      <c r="G7" s="58"/>
    </row>
    <row r="8" spans="4:7" x14ac:dyDescent="0.25">
      <c r="D8" s="171"/>
      <c r="E8" s="235" t="s">
        <v>134</v>
      </c>
      <c r="F8" s="235"/>
      <c r="G8" s="174">
        <f>SUM(G4:G7)</f>
        <v>12828.186594202531</v>
      </c>
    </row>
    <row r="9" spans="4:7" x14ac:dyDescent="0.25">
      <c r="D9" s="133" t="s">
        <v>133</v>
      </c>
      <c r="E9" s="166" t="s">
        <v>120</v>
      </c>
      <c r="F9" s="167" t="s">
        <v>115</v>
      </c>
      <c r="G9" s="168">
        <f>' Assumptions '!$B$59</f>
        <v>3390</v>
      </c>
    </row>
    <row r="10" spans="4:7" x14ac:dyDescent="0.25">
      <c r="D10" s="175"/>
      <c r="E10" s="170" t="s">
        <v>121</v>
      </c>
      <c r="F10" t="s">
        <v>128</v>
      </c>
      <c r="G10" s="173">
        <f>(' Assumptions '!D31/' Assumptions '!D38*'Rate Summary'!C17)+'Rate Summary'!C7</f>
        <v>2206.6453793119113</v>
      </c>
    </row>
    <row r="11" spans="4:7" x14ac:dyDescent="0.25">
      <c r="D11" s="169"/>
      <c r="E11" s="170" t="s">
        <v>122</v>
      </c>
      <c r="F11" t="s">
        <v>77</v>
      </c>
      <c r="G11" s="172">
        <f>'Rate Summary'!C8+' Assumptions '!D47+' Assumptions '!B48+' Assumptions '!B49+(1/' Assumptions '!D38*'Rate Summary'!C17)</f>
        <v>7231.5412148906198</v>
      </c>
    </row>
    <row r="12" spans="4:7" x14ac:dyDescent="0.25">
      <c r="D12" s="169"/>
      <c r="E12" s="170" t="s">
        <v>126</v>
      </c>
      <c r="F12" t="s">
        <v>127</v>
      </c>
      <c r="G12" s="173">
        <f>+' Assumptions '!B58+' Assumptions '!B57</f>
        <v>766.66666666666663</v>
      </c>
    </row>
    <row r="13" spans="4:7" x14ac:dyDescent="0.25">
      <c r="D13" s="169"/>
      <c r="G13" s="58"/>
    </row>
    <row r="14" spans="4:7" x14ac:dyDescent="0.25">
      <c r="D14" s="171"/>
      <c r="E14" s="235" t="s">
        <v>135</v>
      </c>
      <c r="F14" s="235"/>
      <c r="G14" s="174">
        <f>SUM(G9:G13)</f>
        <v>13594.853260869197</v>
      </c>
    </row>
    <row r="15" spans="4:7" x14ac:dyDescent="0.25">
      <c r="D15" s="133" t="s">
        <v>113</v>
      </c>
      <c r="E15" s="166" t="s">
        <v>123</v>
      </c>
      <c r="F15" s="167" t="s">
        <v>114</v>
      </c>
      <c r="G15" s="168">
        <f>' Assumptions '!$B$59</f>
        <v>3390</v>
      </c>
    </row>
    <row r="16" spans="4:7" x14ac:dyDescent="0.25">
      <c r="D16" s="169"/>
      <c r="E16" s="170" t="s">
        <v>124</v>
      </c>
      <c r="F16" t="s">
        <v>128</v>
      </c>
      <c r="G16" s="173">
        <f>(' Assumptions '!D31/' Assumptions '!D38*'Rate Summary'!C17)+'Rate Summary'!C7</f>
        <v>2206.6453793119113</v>
      </c>
    </row>
    <row r="17" spans="4:9" x14ac:dyDescent="0.25">
      <c r="D17" s="169"/>
      <c r="E17" s="170" t="s">
        <v>125</v>
      </c>
      <c r="F17" t="s">
        <v>77</v>
      </c>
      <c r="G17" s="173">
        <f>'Rate Summary'!C8+' Assumptions '!D47+' Assumptions '!B48+' Assumptions '!B49+(1/' Assumptions '!D38*'Rate Summary'!C17)</f>
        <v>7231.5412148906198</v>
      </c>
      <c r="I17" s="4"/>
    </row>
    <row r="18" spans="4:9" x14ac:dyDescent="0.25">
      <c r="D18" s="169"/>
      <c r="E18" s="170" t="s">
        <v>129</v>
      </c>
      <c r="F18" t="s">
        <v>116</v>
      </c>
      <c r="G18" s="173">
        <f>'Rate Summary'!C9+(' Assumptions '!D33/' Assumptions '!D38*'Rate Summary'!C17)</f>
        <v>2353.9084929033729</v>
      </c>
    </row>
    <row r="19" spans="4:9" x14ac:dyDescent="0.25">
      <c r="D19" s="169"/>
      <c r="E19" s="170"/>
      <c r="F19" t="s">
        <v>117</v>
      </c>
      <c r="G19" s="172">
        <f>'Rate Summary'!C10+(' Assumptions '!D34/' Assumptions '!D38*'Rate Summary'!C17)</f>
        <v>38113.534158283197</v>
      </c>
    </row>
    <row r="20" spans="4:9" x14ac:dyDescent="0.25">
      <c r="D20" s="169"/>
      <c r="E20" s="170"/>
      <c r="F20" t="s">
        <v>93</v>
      </c>
      <c r="G20" s="173">
        <f>' Assumptions '!B42+' Assumptions '!B46+' Assumptions '!B47+' Assumptions '!B48+' Assumptions '!B49+' Assumptions '!B50+' Assumptions '!B51+' Assumptions '!B52+' Assumptions '!B53</f>
        <v>6846.3048920368947</v>
      </c>
    </row>
    <row r="21" spans="4:9" x14ac:dyDescent="0.25">
      <c r="D21" s="171"/>
      <c r="E21" s="235" t="s">
        <v>136</v>
      </c>
      <c r="F21" s="235"/>
      <c r="G21" s="174">
        <f>SUM(G15:G20)</f>
        <v>60141.934137425997</v>
      </c>
    </row>
    <row r="24" spans="4:9" x14ac:dyDescent="0.25">
      <c r="F24" s="13">
        <f>G21+G14+G8</f>
        <v>86564.973992497718</v>
      </c>
      <c r="G24" s="14">
        <f>F24*4</f>
        <v>346259.89596999087</v>
      </c>
    </row>
    <row r="26" spans="4:9" x14ac:dyDescent="0.25">
      <c r="F26" s="13"/>
    </row>
  </sheetData>
  <mergeCells count="3">
    <mergeCell ref="E21:F21"/>
    <mergeCell ref="E8:F8"/>
    <mergeCell ref="E14:F14"/>
  </mergeCells>
  <phoneticPr fontId="18" type="noConversion"/>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Fee Table</vt:lpstr>
      <vt:lpstr>Fair Wages</vt:lpstr>
      <vt:lpstr> Assumptions </vt:lpstr>
      <vt:lpstr>Rate Summary</vt:lpstr>
      <vt:lpstr>Directcare Schedule </vt:lpstr>
      <vt:lpstr>Start up </vt:lpstr>
      <vt:lpstr>' Assumptions '!Beds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Emmans, Sarah (DCYF)</dc:creator>
  <cp:keywords/>
  <dc:description/>
  <cp:lastModifiedBy>Sexton, David (DCYF)</cp:lastModifiedBy>
  <cp:revision/>
  <dcterms:created xsi:type="dcterms:W3CDTF">2023-05-10T15:49:15Z</dcterms:created>
  <dcterms:modified xsi:type="dcterms:W3CDTF">2024-04-30T21:43:47Z</dcterms:modified>
  <cp:category/>
  <cp:contentStatus/>
</cp:coreProperties>
</file>